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R:\86_Pågående Bussanbud - Priser - Begrenset tilgang\03 Romeriksanbud\Arbeidsmappe KGL\V.6 - Incitamentsbeskrivelse\"/>
    </mc:Choice>
  </mc:AlternateContent>
  <bookViews>
    <workbookView xWindow="0" yWindow="0" windowWidth="23040" windowHeight="8655" firstSheet="6" activeTab="6"/>
  </bookViews>
  <sheets>
    <sheet name="A1.1 - Beregninger" sheetId="1" state="hidden" r:id="rId1"/>
    <sheet name="A1 - Faktorer" sheetId="2" state="hidden" r:id="rId2"/>
    <sheet name="A1.2(2) - Beregninger" sheetId="15" state="hidden" r:id="rId3"/>
    <sheet name="A1.2 - Beregninger" sheetId="4" state="hidden" r:id="rId4"/>
    <sheet name="A2 - Faktorer" sheetId="5" state="hidden" r:id="rId5"/>
    <sheet name="A2.1 - Beregninger" sheetId="8" state="hidden" r:id="rId6"/>
    <sheet name="OM" sheetId="17" r:id="rId7"/>
    <sheet name="Inndata" sheetId="16" r:id="rId8"/>
    <sheet name="Beregninger" sheetId="6" r:id="rId9"/>
    <sheet name="A3.2a - Beregninger" sheetId="13" state="hidden" r:id="rId10"/>
    <sheet name="A3 - Faktorer" sheetId="7" state="hidden" r:id="rId11"/>
    <sheet name="Regularitet" sheetId="9" state="hidden" r:id="rId12"/>
    <sheet name="Alt-i-alt" sheetId="10" state="hidden" r:id="rId13"/>
    <sheet name="Grafer" sheetId="11" state="hidden" r:id="rId14"/>
    <sheet name="ulike utslag" sheetId="14" state="hidden" r:id="rId1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6" l="1"/>
  <c r="D24" i="16"/>
  <c r="E24" i="16"/>
  <c r="F24" i="16"/>
  <c r="G24" i="16"/>
  <c r="H24" i="16"/>
  <c r="I24" i="16"/>
  <c r="J24" i="16"/>
  <c r="K24" i="16"/>
  <c r="L24" i="16"/>
  <c r="M24" i="16"/>
  <c r="N24" i="16"/>
  <c r="C24" i="16"/>
  <c r="S11" i="6"/>
  <c r="T11" i="6"/>
  <c r="U11" i="6"/>
  <c r="V11" i="6"/>
  <c r="G11" i="6" s="1"/>
  <c r="W11" i="6"/>
  <c r="X11" i="6"/>
  <c r="Y11" i="6"/>
  <c r="Z11" i="6"/>
  <c r="AA11" i="6"/>
  <c r="AB11" i="6"/>
  <c r="AC11" i="6"/>
  <c r="AD11" i="6"/>
  <c r="S12" i="6"/>
  <c r="T12" i="6"/>
  <c r="U12" i="6"/>
  <c r="V12" i="6"/>
  <c r="W12" i="6"/>
  <c r="X12" i="6"/>
  <c r="Y12" i="6"/>
  <c r="Z12" i="6"/>
  <c r="AA12" i="6"/>
  <c r="AB12" i="6"/>
  <c r="AC12" i="6"/>
  <c r="AD12" i="6"/>
  <c r="S13" i="6"/>
  <c r="T13" i="6"/>
  <c r="U13" i="6"/>
  <c r="V13" i="6"/>
  <c r="G13" i="6" s="1"/>
  <c r="W13" i="6"/>
  <c r="X13" i="6"/>
  <c r="Y13" i="6"/>
  <c r="Z13" i="6"/>
  <c r="AA13" i="6"/>
  <c r="AB13" i="6"/>
  <c r="AC13" i="6"/>
  <c r="AD13" i="6"/>
  <c r="S14" i="6"/>
  <c r="T14" i="6"/>
  <c r="U14" i="6"/>
  <c r="V14" i="6"/>
  <c r="W14" i="6"/>
  <c r="X14" i="6"/>
  <c r="Y14" i="6"/>
  <c r="Z14" i="6"/>
  <c r="AA14" i="6"/>
  <c r="AB14" i="6"/>
  <c r="AC14" i="6"/>
  <c r="AD14" i="6"/>
  <c r="S15" i="6"/>
  <c r="T15" i="6"/>
  <c r="U15" i="6"/>
  <c r="V15" i="6"/>
  <c r="W15" i="6"/>
  <c r="X15" i="6"/>
  <c r="Y15" i="6"/>
  <c r="Z15" i="6"/>
  <c r="AA15" i="6"/>
  <c r="AB15" i="6"/>
  <c r="AC15" i="6"/>
  <c r="AD15" i="6"/>
  <c r="S16" i="6"/>
  <c r="T16" i="6"/>
  <c r="U16" i="6"/>
  <c r="V16" i="6"/>
  <c r="W16" i="6"/>
  <c r="H16" i="6" s="1"/>
  <c r="X16" i="6"/>
  <c r="Y16" i="6"/>
  <c r="Z16" i="6"/>
  <c r="AA16" i="6"/>
  <c r="AB16" i="6"/>
  <c r="AC16" i="6"/>
  <c r="AD16" i="6"/>
  <c r="S17" i="6"/>
  <c r="AG17" i="6" s="1"/>
  <c r="T17" i="6"/>
  <c r="U17" i="6"/>
  <c r="V17" i="6"/>
  <c r="W17" i="6"/>
  <c r="X17" i="6"/>
  <c r="Y17" i="6"/>
  <c r="Z17" i="6"/>
  <c r="AA17" i="6"/>
  <c r="AB17" i="6"/>
  <c r="AC17" i="6"/>
  <c r="AD17" i="6"/>
  <c r="S18" i="6"/>
  <c r="T18" i="6"/>
  <c r="U18" i="6"/>
  <c r="V18" i="6"/>
  <c r="W18" i="6"/>
  <c r="X18" i="6"/>
  <c r="Y18" i="6"/>
  <c r="Z18" i="6"/>
  <c r="AA18" i="6"/>
  <c r="AB18" i="6"/>
  <c r="AC18" i="6"/>
  <c r="AD18" i="6"/>
  <c r="S19" i="6"/>
  <c r="T19" i="6"/>
  <c r="U19" i="6"/>
  <c r="V19" i="6"/>
  <c r="W19" i="6"/>
  <c r="X19" i="6"/>
  <c r="Y19" i="6"/>
  <c r="Z19" i="6"/>
  <c r="AA19" i="6"/>
  <c r="AB19" i="6"/>
  <c r="AC19" i="6"/>
  <c r="AD19" i="6"/>
  <c r="S20" i="6"/>
  <c r="T20" i="6"/>
  <c r="U20" i="6"/>
  <c r="V20" i="6"/>
  <c r="W20" i="6"/>
  <c r="X20" i="6"/>
  <c r="Y20" i="6"/>
  <c r="Z20" i="6"/>
  <c r="AA20" i="6"/>
  <c r="AB20" i="6"/>
  <c r="AC20" i="6"/>
  <c r="AD20" i="6"/>
  <c r="S21" i="6"/>
  <c r="T21" i="6"/>
  <c r="U21" i="6"/>
  <c r="V21" i="6"/>
  <c r="W21" i="6"/>
  <c r="X21" i="6"/>
  <c r="Y21" i="6"/>
  <c r="Z21" i="6"/>
  <c r="AA21" i="6"/>
  <c r="AB21" i="6"/>
  <c r="AC21" i="6"/>
  <c r="AD21" i="6"/>
  <c r="S22" i="6"/>
  <c r="T22" i="6"/>
  <c r="U22" i="6"/>
  <c r="V22" i="6"/>
  <c r="W22" i="6"/>
  <c r="X22" i="6"/>
  <c r="Y22" i="6"/>
  <c r="Z22" i="6"/>
  <c r="AA22" i="6"/>
  <c r="AB22" i="6"/>
  <c r="AC22" i="6"/>
  <c r="AD22" i="6"/>
  <c r="N20" i="16"/>
  <c r="C20" i="16"/>
  <c r="D13" i="16"/>
  <c r="E13" i="16"/>
  <c r="F13" i="16"/>
  <c r="G13" i="16"/>
  <c r="H13" i="16"/>
  <c r="I13" i="16"/>
  <c r="J13" i="16"/>
  <c r="K13" i="16"/>
  <c r="L13" i="16"/>
  <c r="M13" i="16"/>
  <c r="N13" i="16"/>
  <c r="C13" i="16"/>
  <c r="E20" i="16"/>
  <c r="F20" i="16"/>
  <c r="G20" i="16"/>
  <c r="H20" i="16"/>
  <c r="I20" i="16"/>
  <c r="J20" i="16"/>
  <c r="K20" i="16"/>
  <c r="L20" i="16"/>
  <c r="M20" i="16"/>
  <c r="D20" i="16"/>
  <c r="O20" i="16" l="1"/>
  <c r="F27" i="16"/>
  <c r="L27" i="16"/>
  <c r="D27" i="16"/>
  <c r="J27" i="16"/>
  <c r="H27" i="16"/>
  <c r="K27" i="16"/>
  <c r="G27" i="16"/>
  <c r="C27" i="16"/>
  <c r="O13" i="16"/>
  <c r="O27" i="16" s="1"/>
  <c r="N27" i="16"/>
  <c r="M27" i="16"/>
  <c r="I27" i="16"/>
  <c r="E27" i="16"/>
  <c r="F15" i="6"/>
  <c r="AI15" i="6" s="1"/>
  <c r="C9" i="16"/>
  <c r="D18" i="6"/>
  <c r="AG18" i="6" s="1"/>
  <c r="D9" i="16"/>
  <c r="D25" i="16" s="1"/>
  <c r="E9" i="16"/>
  <c r="E25" i="16" s="1"/>
  <c r="F9" i="16"/>
  <c r="G9" i="16"/>
  <c r="G25" i="16" s="1"/>
  <c r="H9" i="16"/>
  <c r="H25" i="16" s="1"/>
  <c r="I9" i="16"/>
  <c r="J4" i="15" s="1"/>
  <c r="J46" i="15" s="1"/>
  <c r="J9" i="16"/>
  <c r="K9" i="16"/>
  <c r="K25" i="16" s="1"/>
  <c r="L9" i="16"/>
  <c r="L25" i="16" s="1"/>
  <c r="M9" i="16"/>
  <c r="N9" i="16"/>
  <c r="N25" i="16" s="1"/>
  <c r="O16" i="6"/>
  <c r="AR16" i="6" s="1"/>
  <c r="N16" i="6"/>
  <c r="AQ16" i="6" s="1"/>
  <c r="M16" i="6"/>
  <c r="AP16" i="6" s="1"/>
  <c r="L16" i="6"/>
  <c r="AO16" i="6" s="1"/>
  <c r="K16" i="6"/>
  <c r="AN16" i="6" s="1"/>
  <c r="J16" i="6"/>
  <c r="AM16" i="6" s="1"/>
  <c r="I16" i="6"/>
  <c r="AL16" i="6" s="1"/>
  <c r="AK16" i="6"/>
  <c r="G16" i="6"/>
  <c r="AJ16" i="6" s="1"/>
  <c r="F16" i="6"/>
  <c r="AI16" i="6" s="1"/>
  <c r="E16" i="6"/>
  <c r="AH16" i="6" s="1"/>
  <c r="O15" i="6"/>
  <c r="AR15" i="6" s="1"/>
  <c r="N15" i="6"/>
  <c r="AQ15" i="6" s="1"/>
  <c r="M15" i="6"/>
  <c r="AP15" i="6" s="1"/>
  <c r="L15" i="6"/>
  <c r="AO15" i="6" s="1"/>
  <c r="K15" i="6"/>
  <c r="AN15" i="6" s="1"/>
  <c r="J15" i="6"/>
  <c r="AM15" i="6" s="1"/>
  <c r="I15" i="6"/>
  <c r="AL15" i="6" s="1"/>
  <c r="H15" i="6"/>
  <c r="AK15" i="6" s="1"/>
  <c r="G15" i="6"/>
  <c r="AJ15" i="6" s="1"/>
  <c r="E15" i="6"/>
  <c r="AH15" i="6" s="1"/>
  <c r="O14" i="6"/>
  <c r="AR14" i="6" s="1"/>
  <c r="N14" i="6"/>
  <c r="AQ14" i="6" s="1"/>
  <c r="M14" i="6"/>
  <c r="AP14" i="6" s="1"/>
  <c r="L14" i="6"/>
  <c r="AO14" i="6" s="1"/>
  <c r="K14" i="6"/>
  <c r="AN14" i="6" s="1"/>
  <c r="J14" i="6"/>
  <c r="AM14" i="6" s="1"/>
  <c r="I14" i="6"/>
  <c r="AL14" i="6" s="1"/>
  <c r="H14" i="6"/>
  <c r="AK14" i="6" s="1"/>
  <c r="G14" i="6"/>
  <c r="AJ14" i="6" s="1"/>
  <c r="F14" i="6"/>
  <c r="AI14" i="6" s="1"/>
  <c r="E14" i="6"/>
  <c r="AH14" i="6" s="1"/>
  <c r="O13" i="6"/>
  <c r="AR13" i="6" s="1"/>
  <c r="N13" i="6"/>
  <c r="AQ13" i="6" s="1"/>
  <c r="M13" i="6"/>
  <c r="AP13" i="6" s="1"/>
  <c r="L13" i="6"/>
  <c r="AO13" i="6" s="1"/>
  <c r="K13" i="6"/>
  <c r="AN13" i="6" s="1"/>
  <c r="J13" i="6"/>
  <c r="AM13" i="6" s="1"/>
  <c r="I13" i="6"/>
  <c r="AL13" i="6" s="1"/>
  <c r="H13" i="6"/>
  <c r="AK13" i="6" s="1"/>
  <c r="AJ13" i="6"/>
  <c r="F13" i="6"/>
  <c r="AI13" i="6" s="1"/>
  <c r="E13" i="6"/>
  <c r="AH13" i="6" s="1"/>
  <c r="O12" i="6"/>
  <c r="AR12" i="6" s="1"/>
  <c r="N12" i="6"/>
  <c r="AQ12" i="6" s="1"/>
  <c r="M12" i="6"/>
  <c r="AP12" i="6" s="1"/>
  <c r="L12" i="6"/>
  <c r="AO12" i="6" s="1"/>
  <c r="K12" i="6"/>
  <c r="AN12" i="6" s="1"/>
  <c r="J12" i="6"/>
  <c r="AM12" i="6" s="1"/>
  <c r="I12" i="6"/>
  <c r="AL12" i="6" s="1"/>
  <c r="H12" i="6"/>
  <c r="AK12" i="6" s="1"/>
  <c r="G12" i="6"/>
  <c r="AJ12" i="6" s="1"/>
  <c r="F12" i="6"/>
  <c r="AI12" i="6" s="1"/>
  <c r="E12" i="6"/>
  <c r="AH12" i="6" s="1"/>
  <c r="O11" i="6"/>
  <c r="AR11" i="6" s="1"/>
  <c r="N11" i="6"/>
  <c r="AQ11" i="6" s="1"/>
  <c r="M11" i="6"/>
  <c r="AP11" i="6" s="1"/>
  <c r="L11" i="6"/>
  <c r="AO11" i="6" s="1"/>
  <c r="K11" i="6"/>
  <c r="AN11" i="6" s="1"/>
  <c r="J11" i="6"/>
  <c r="AM11" i="6" s="1"/>
  <c r="I11" i="6"/>
  <c r="AL11" i="6" s="1"/>
  <c r="H11" i="6"/>
  <c r="AK11" i="6" s="1"/>
  <c r="AJ11" i="6"/>
  <c r="F11" i="6"/>
  <c r="AI11" i="6" s="1"/>
  <c r="E11" i="6"/>
  <c r="AH11" i="6" s="1"/>
  <c r="N22" i="6"/>
  <c r="AQ22" i="6" s="1"/>
  <c r="M22" i="6"/>
  <c r="AP22" i="6" s="1"/>
  <c r="L22" i="6"/>
  <c r="AO22" i="6" s="1"/>
  <c r="K22" i="6"/>
  <c r="AN22" i="6" s="1"/>
  <c r="J22" i="6"/>
  <c r="AM22" i="6" s="1"/>
  <c r="I22" i="6"/>
  <c r="AL22" i="6" s="1"/>
  <c r="H22" i="6"/>
  <c r="AK22" i="6" s="1"/>
  <c r="G22" i="6"/>
  <c r="AJ22" i="6" s="1"/>
  <c r="F22" i="6"/>
  <c r="AI22" i="6" s="1"/>
  <c r="E22" i="6"/>
  <c r="AH22" i="6" s="1"/>
  <c r="D22" i="6"/>
  <c r="AG22" i="6" s="1"/>
  <c r="N21" i="6"/>
  <c r="AQ21" i="6" s="1"/>
  <c r="M21" i="6"/>
  <c r="AP21" i="6" s="1"/>
  <c r="L21" i="6"/>
  <c r="AO21" i="6" s="1"/>
  <c r="K21" i="6"/>
  <c r="AN21" i="6" s="1"/>
  <c r="J21" i="6"/>
  <c r="AM21" i="6" s="1"/>
  <c r="I21" i="6"/>
  <c r="AL21" i="6" s="1"/>
  <c r="H21" i="6"/>
  <c r="AK21" i="6" s="1"/>
  <c r="G21" i="6"/>
  <c r="AJ21" i="6" s="1"/>
  <c r="F21" i="6"/>
  <c r="AI21" i="6" s="1"/>
  <c r="E21" i="6"/>
  <c r="AH21" i="6" s="1"/>
  <c r="D21" i="6"/>
  <c r="AG21" i="6" s="1"/>
  <c r="N20" i="6"/>
  <c r="AQ20" i="6" s="1"/>
  <c r="M20" i="6"/>
  <c r="AP20" i="6" s="1"/>
  <c r="L20" i="6"/>
  <c r="AO20" i="6" s="1"/>
  <c r="K20" i="6"/>
  <c r="AN20" i="6" s="1"/>
  <c r="J20" i="6"/>
  <c r="AM20" i="6" s="1"/>
  <c r="I20" i="6"/>
  <c r="AL20" i="6" s="1"/>
  <c r="H20" i="6"/>
  <c r="AK20" i="6" s="1"/>
  <c r="G20" i="6"/>
  <c r="AJ20" i="6" s="1"/>
  <c r="F20" i="6"/>
  <c r="AI20" i="6" s="1"/>
  <c r="E20" i="6"/>
  <c r="AH20" i="6" s="1"/>
  <c r="D20" i="6"/>
  <c r="AG20" i="6" s="1"/>
  <c r="N19" i="6"/>
  <c r="AQ19" i="6" s="1"/>
  <c r="M19" i="6"/>
  <c r="AP19" i="6" s="1"/>
  <c r="L19" i="6"/>
  <c r="AO19" i="6" s="1"/>
  <c r="K19" i="6"/>
  <c r="AN19" i="6" s="1"/>
  <c r="J19" i="6"/>
  <c r="AM19" i="6" s="1"/>
  <c r="I19" i="6"/>
  <c r="AL19" i="6" s="1"/>
  <c r="H19" i="6"/>
  <c r="AK19" i="6" s="1"/>
  <c r="G19" i="6"/>
  <c r="AJ19" i="6" s="1"/>
  <c r="F19" i="6"/>
  <c r="AI19" i="6" s="1"/>
  <c r="E19" i="6"/>
  <c r="AH19" i="6" s="1"/>
  <c r="D19" i="6"/>
  <c r="AG19" i="6" s="1"/>
  <c r="N18" i="6"/>
  <c r="AQ18" i="6" s="1"/>
  <c r="M18" i="6"/>
  <c r="AP18" i="6" s="1"/>
  <c r="L18" i="6"/>
  <c r="AO18" i="6" s="1"/>
  <c r="K18" i="6"/>
  <c r="AN18" i="6" s="1"/>
  <c r="J18" i="6"/>
  <c r="AM18" i="6" s="1"/>
  <c r="I18" i="6"/>
  <c r="AL18" i="6" s="1"/>
  <c r="H18" i="6"/>
  <c r="AK18" i="6" s="1"/>
  <c r="G18" i="6"/>
  <c r="AJ18" i="6" s="1"/>
  <c r="F18" i="6"/>
  <c r="AI18" i="6" s="1"/>
  <c r="E18" i="6"/>
  <c r="AH18" i="6" s="1"/>
  <c r="N17" i="6"/>
  <c r="AQ17" i="6" s="1"/>
  <c r="M17" i="6"/>
  <c r="AP17" i="6" s="1"/>
  <c r="L17" i="6"/>
  <c r="AO17" i="6" s="1"/>
  <c r="K17" i="6"/>
  <c r="AN17" i="6" s="1"/>
  <c r="J17" i="6"/>
  <c r="AM17" i="6" s="1"/>
  <c r="I17" i="6"/>
  <c r="AL17" i="6" s="1"/>
  <c r="H17" i="6"/>
  <c r="AK17" i="6" s="1"/>
  <c r="G17" i="6"/>
  <c r="AJ17" i="6" s="1"/>
  <c r="F17" i="6"/>
  <c r="AI17" i="6" s="1"/>
  <c r="E17" i="6"/>
  <c r="AH17" i="6" s="1"/>
  <c r="F25" i="16"/>
  <c r="N11" i="16"/>
  <c r="M11" i="16"/>
  <c r="M26" i="16" s="1"/>
  <c r="J11" i="16"/>
  <c r="J26" i="16" s="1"/>
  <c r="F11" i="16"/>
  <c r="F26" i="16" s="1"/>
  <c r="D11" i="16"/>
  <c r="C11" i="16"/>
  <c r="K11" i="16"/>
  <c r="K26" i="16" s="1"/>
  <c r="G11" i="16"/>
  <c r="G26" i="16" s="1"/>
  <c r="E11" i="16"/>
  <c r="F4" i="6" s="1"/>
  <c r="F5" i="6" s="1"/>
  <c r="F6" i="6" s="1"/>
  <c r="D6" i="4"/>
  <c r="D10" i="4" s="1"/>
  <c r="L11" i="16"/>
  <c r="L26" i="16" s="1"/>
  <c r="G4" i="15"/>
  <c r="G6" i="15" s="1"/>
  <c r="G38" i="15" s="1"/>
  <c r="B36" i="14"/>
  <c r="B40" i="14" s="1"/>
  <c r="C37" i="14"/>
  <c r="D37" i="14"/>
  <c r="E37" i="14"/>
  <c r="F37" i="14" s="1"/>
  <c r="G37" i="14" s="1"/>
  <c r="H37" i="14" s="1"/>
  <c r="I37" i="14" s="1"/>
  <c r="J37" i="14" s="1"/>
  <c r="K37" i="14" s="1"/>
  <c r="L37" i="14" s="1"/>
  <c r="C32" i="14"/>
  <c r="C36" i="14"/>
  <c r="C40" i="14" s="1"/>
  <c r="M3" i="14"/>
  <c r="M2" i="14"/>
  <c r="M4" i="14"/>
  <c r="D32" i="14"/>
  <c r="E32" i="11"/>
  <c r="E36" i="11" s="1"/>
  <c r="F32" i="11"/>
  <c r="C32" i="11"/>
  <c r="D32" i="11" s="1"/>
  <c r="D36" i="11" s="1"/>
  <c r="B36" i="11"/>
  <c r="B9" i="13"/>
  <c r="D7" i="13"/>
  <c r="D6" i="13"/>
  <c r="D9" i="13"/>
  <c r="O4" i="15"/>
  <c r="O6" i="15" s="1"/>
  <c r="M3" i="11"/>
  <c r="M2" i="11"/>
  <c r="M4" i="11"/>
  <c r="C4" i="9"/>
  <c r="D4" i="9"/>
  <c r="B4" i="9"/>
  <c r="B9" i="8"/>
  <c r="D7" i="8"/>
  <c r="D6" i="8"/>
  <c r="D7" i="1"/>
  <c r="D7" i="4"/>
  <c r="C14" i="7"/>
  <c r="B6" i="7"/>
  <c r="D4" i="13"/>
  <c r="C14" i="5"/>
  <c r="E7" i="1" s="1"/>
  <c r="B6" i="5"/>
  <c r="C6" i="5"/>
  <c r="B10" i="4"/>
  <c r="B6" i="2"/>
  <c r="B14" i="2"/>
  <c r="D6" i="1"/>
  <c r="B10" i="1"/>
  <c r="E7" i="13"/>
  <c r="E6" i="13"/>
  <c r="C6" i="7"/>
  <c r="E4" i="8" s="1"/>
  <c r="E7" i="8"/>
  <c r="D14" i="7"/>
  <c r="D4" i="8"/>
  <c r="D9" i="8"/>
  <c r="E6" i="8"/>
  <c r="D14" i="5"/>
  <c r="D4" i="4"/>
  <c r="F6" i="13"/>
  <c r="F7" i="13"/>
  <c r="F7" i="8"/>
  <c r="E14" i="7"/>
  <c r="G6" i="8" s="1"/>
  <c r="F6" i="8"/>
  <c r="D6" i="7"/>
  <c r="F7" i="4"/>
  <c r="E14" i="5"/>
  <c r="F14" i="5" s="1"/>
  <c r="G7" i="13"/>
  <c r="F14" i="7"/>
  <c r="H6" i="13" s="1"/>
  <c r="F4" i="13"/>
  <c r="H6" i="4"/>
  <c r="H10" i="4" s="1"/>
  <c r="G7" i="1"/>
  <c r="H9" i="13"/>
  <c r="H6" i="8"/>
  <c r="G14" i="5"/>
  <c r="I6" i="4" s="1"/>
  <c r="I10" i="4" s="1"/>
  <c r="H34" i="13"/>
  <c r="H35" i="13"/>
  <c r="H40" i="13"/>
  <c r="H43" i="13"/>
  <c r="H39" i="4"/>
  <c r="H40" i="4"/>
  <c r="H44" i="4"/>
  <c r="H41" i="4"/>
  <c r="H38" i="4"/>
  <c r="H14" i="5"/>
  <c r="I14" i="5" s="1"/>
  <c r="J14" i="5" s="1"/>
  <c r="J6" i="4"/>
  <c r="J10" i="4" s="1"/>
  <c r="I39" i="4"/>
  <c r="I43" i="4"/>
  <c r="I40" i="4"/>
  <c r="I44" i="4"/>
  <c r="I37" i="4"/>
  <c r="I41" i="4"/>
  <c r="H11" i="16"/>
  <c r="H26" i="16" s="1"/>
  <c r="I11" i="16"/>
  <c r="K4" i="6" l="1"/>
  <c r="K5" i="6" s="1"/>
  <c r="I25" i="16"/>
  <c r="L6" i="4"/>
  <c r="L10" i="4" s="1"/>
  <c r="K14" i="5"/>
  <c r="J33" i="4"/>
  <c r="J42" i="4"/>
  <c r="J43" i="4"/>
  <c r="J37" i="4"/>
  <c r="J34" i="4"/>
  <c r="J35" i="4"/>
  <c r="J36" i="4"/>
  <c r="J41" i="4"/>
  <c r="J44" i="4"/>
  <c r="J40" i="4"/>
  <c r="J38" i="4"/>
  <c r="J39" i="4"/>
  <c r="F9" i="8"/>
  <c r="I26" i="16"/>
  <c r="J4" i="6"/>
  <c r="J5" i="6" s="1"/>
  <c r="J6" i="6" s="1"/>
  <c r="K6" i="4"/>
  <c r="K10" i="4" s="1"/>
  <c r="D41" i="4"/>
  <c r="D38" i="4"/>
  <c r="D40" i="4"/>
  <c r="D39" i="4"/>
  <c r="D42" i="4"/>
  <c r="D43" i="4"/>
  <c r="D44" i="4"/>
  <c r="H37" i="13"/>
  <c r="H41" i="13"/>
  <c r="H45" i="13"/>
  <c r="H36" i="13"/>
  <c r="H42" i="13"/>
  <c r="H38" i="13"/>
  <c r="H44" i="13"/>
  <c r="H39" i="13"/>
  <c r="I42" i="4"/>
  <c r="I34" i="4"/>
  <c r="I38" i="4"/>
  <c r="I35" i="4"/>
  <c r="I36" i="4"/>
  <c r="I33" i="4"/>
  <c r="I45" i="4" s="1"/>
  <c r="H35" i="4"/>
  <c r="H36" i="4"/>
  <c r="H33" i="4"/>
  <c r="D43" i="13"/>
  <c r="D45" i="13"/>
  <c r="D39" i="13"/>
  <c r="D40" i="13"/>
  <c r="D44" i="13"/>
  <c r="G32" i="11"/>
  <c r="F36" i="11"/>
  <c r="N26" i="16"/>
  <c r="O4" i="6"/>
  <c r="O5" i="6" s="1"/>
  <c r="O6" i="6" s="1"/>
  <c r="O30" i="6" s="1"/>
  <c r="M25" i="16"/>
  <c r="N4" i="15"/>
  <c r="N6" i="15" s="1"/>
  <c r="N30" i="15" s="1"/>
  <c r="H37" i="4"/>
  <c r="H34" i="4"/>
  <c r="F4" i="8"/>
  <c r="E6" i="7"/>
  <c r="D42" i="8"/>
  <c r="D43" i="8"/>
  <c r="D45" i="8"/>
  <c r="D41" i="8"/>
  <c r="D40" i="8"/>
  <c r="D39" i="8"/>
  <c r="D41" i="13"/>
  <c r="H42" i="4"/>
  <c r="H43" i="4"/>
  <c r="E4" i="13"/>
  <c r="D44" i="8"/>
  <c r="E4" i="4"/>
  <c r="D6" i="5"/>
  <c r="D42" i="13"/>
  <c r="E32" i="14"/>
  <c r="D36" i="14"/>
  <c r="D40" i="14" s="1"/>
  <c r="G14" i="7"/>
  <c r="G7" i="8"/>
  <c r="G6" i="13"/>
  <c r="G9" i="13" s="1"/>
  <c r="F9" i="13"/>
  <c r="E9" i="13"/>
  <c r="C6" i="2"/>
  <c r="D4" i="1"/>
  <c r="D10" i="1" s="1"/>
  <c r="C36" i="11"/>
  <c r="G6" i="4"/>
  <c r="G10" i="4" s="1"/>
  <c r="G7" i="4"/>
  <c r="F6" i="4"/>
  <c r="F10" i="4" s="1"/>
  <c r="F7" i="1"/>
  <c r="P7" i="1" s="1"/>
  <c r="E9" i="8"/>
  <c r="E6" i="4"/>
  <c r="E7" i="4"/>
  <c r="G4" i="6"/>
  <c r="G5" i="6" s="1"/>
  <c r="G6" i="6" s="1"/>
  <c r="D4" i="6"/>
  <c r="D5" i="6" s="1"/>
  <c r="D6" i="6" s="1"/>
  <c r="D36" i="6" s="1"/>
  <c r="F28" i="6"/>
  <c r="F30" i="6"/>
  <c r="F32" i="6"/>
  <c r="F35" i="6"/>
  <c r="F37" i="6"/>
  <c r="F29" i="6"/>
  <c r="F31" i="6"/>
  <c r="F33" i="6"/>
  <c r="F36" i="6"/>
  <c r="F38" i="6"/>
  <c r="F34" i="6"/>
  <c r="F39" i="6"/>
  <c r="O29" i="6"/>
  <c r="O28" i="6"/>
  <c r="O32" i="6"/>
  <c r="H4" i="6"/>
  <c r="H5" i="6" s="1"/>
  <c r="H6" i="6" s="1"/>
  <c r="N4" i="6"/>
  <c r="N5" i="6" s="1"/>
  <c r="N6" i="6" s="1"/>
  <c r="L4" i="6"/>
  <c r="L5" i="6" s="1"/>
  <c r="L6" i="6" s="1"/>
  <c r="E4" i="6"/>
  <c r="E5" i="6" s="1"/>
  <c r="E6" i="6" s="1"/>
  <c r="I4" i="6"/>
  <c r="I5" i="6" s="1"/>
  <c r="I6" i="6" s="1"/>
  <c r="L4" i="15"/>
  <c r="L46" i="15" s="1"/>
  <c r="M4" i="6"/>
  <c r="M5" i="6" s="1"/>
  <c r="M6" i="6" s="1"/>
  <c r="M4" i="15"/>
  <c r="M46" i="15" s="1"/>
  <c r="I4" i="15"/>
  <c r="O11" i="16"/>
  <c r="O26" i="16" s="1"/>
  <c r="C26" i="16"/>
  <c r="O9" i="16"/>
  <c r="O25" i="16" s="1"/>
  <c r="C25" i="16"/>
  <c r="J25" i="16"/>
  <c r="F4" i="15"/>
  <c r="F46" i="15" s="1"/>
  <c r="H4" i="15"/>
  <c r="H46" i="15" s="1"/>
  <c r="E4" i="15"/>
  <c r="E46" i="15" s="1"/>
  <c r="K4" i="15"/>
  <c r="K6" i="15" s="1"/>
  <c r="K30" i="15" s="1"/>
  <c r="N38" i="15"/>
  <c r="G32" i="15"/>
  <c r="D4" i="15"/>
  <c r="D46" i="15" s="1"/>
  <c r="J6" i="15"/>
  <c r="J39" i="15" s="1"/>
  <c r="G46" i="15"/>
  <c r="D26" i="16"/>
  <c r="G31" i="15"/>
  <c r="G35" i="15"/>
  <c r="G40" i="15"/>
  <c r="G29" i="15"/>
  <c r="G39" i="15"/>
  <c r="O30" i="15"/>
  <c r="O33" i="15"/>
  <c r="O32" i="15"/>
  <c r="O31" i="15"/>
  <c r="O34" i="15"/>
  <c r="O29" i="15"/>
  <c r="G36" i="15"/>
  <c r="G34" i="15"/>
  <c r="G33" i="15"/>
  <c r="N29" i="15"/>
  <c r="O46" i="15"/>
  <c r="G37" i="15"/>
  <c r="G30" i="15"/>
  <c r="N34" i="15"/>
  <c r="N35" i="15"/>
  <c r="E26" i="16"/>
  <c r="I46" i="15"/>
  <c r="I6" i="15"/>
  <c r="K6" i="6"/>
  <c r="N32" i="15" l="1"/>
  <c r="N33" i="15"/>
  <c r="P4" i="15"/>
  <c r="D39" i="6"/>
  <c r="O33" i="6"/>
  <c r="O31" i="6"/>
  <c r="N31" i="15"/>
  <c r="D37" i="6"/>
  <c r="M6" i="15"/>
  <c r="D34" i="6"/>
  <c r="D38" i="6"/>
  <c r="F37" i="4"/>
  <c r="F40" i="4"/>
  <c r="F35" i="4"/>
  <c r="F41" i="4"/>
  <c r="F43" i="4"/>
  <c r="F34" i="4"/>
  <c r="F33" i="4"/>
  <c r="F38" i="4"/>
  <c r="F44" i="4"/>
  <c r="F42" i="4"/>
  <c r="F36" i="4"/>
  <c r="F39" i="4"/>
  <c r="G35" i="13"/>
  <c r="G39" i="13"/>
  <c r="G43" i="13"/>
  <c r="G38" i="13"/>
  <c r="G44" i="13"/>
  <c r="G40" i="13"/>
  <c r="G34" i="13"/>
  <c r="G41" i="13"/>
  <c r="G36" i="13"/>
  <c r="G37" i="13"/>
  <c r="G42" i="13"/>
  <c r="G45" i="13"/>
  <c r="D46" i="13"/>
  <c r="H45" i="4"/>
  <c r="J45" i="4"/>
  <c r="N37" i="15"/>
  <c r="N36" i="15"/>
  <c r="N46" i="15"/>
  <c r="D35" i="6"/>
  <c r="E10" i="4"/>
  <c r="C14" i="2"/>
  <c r="E6" i="1" s="1"/>
  <c r="D6" i="2"/>
  <c r="E4" i="1"/>
  <c r="E10" i="1" s="1"/>
  <c r="G9" i="8"/>
  <c r="H32" i="11"/>
  <c r="G36" i="11"/>
  <c r="H46" i="13"/>
  <c r="K43" i="4"/>
  <c r="K36" i="4"/>
  <c r="K41" i="4"/>
  <c r="K35" i="4"/>
  <c r="K34" i="4"/>
  <c r="K33" i="4"/>
  <c r="K44" i="4"/>
  <c r="K37" i="4"/>
  <c r="K42" i="4"/>
  <c r="K40" i="4"/>
  <c r="K39" i="4"/>
  <c r="K38" i="4"/>
  <c r="M6" i="4"/>
  <c r="M10" i="4" s="1"/>
  <c r="L14" i="5"/>
  <c r="N6" i="4" s="1"/>
  <c r="N10" i="4" s="1"/>
  <c r="F34" i="13"/>
  <c r="F38" i="13"/>
  <c r="F42" i="13"/>
  <c r="F35" i="13"/>
  <c r="F40" i="13"/>
  <c r="F45" i="13"/>
  <c r="F36" i="13"/>
  <c r="F41" i="13"/>
  <c r="F39" i="13"/>
  <c r="F43" i="13"/>
  <c r="F44" i="13"/>
  <c r="F37" i="13"/>
  <c r="D39" i="1"/>
  <c r="D43" i="1"/>
  <c r="D41" i="1"/>
  <c r="D40" i="1"/>
  <c r="D45" i="1"/>
  <c r="D42" i="1"/>
  <c r="D44" i="1"/>
  <c r="F32" i="14"/>
  <c r="E36" i="14"/>
  <c r="E40" i="14" s="1"/>
  <c r="G4" i="13"/>
  <c r="G4" i="8"/>
  <c r="F6" i="7"/>
  <c r="F35" i="8"/>
  <c r="F41" i="8"/>
  <c r="F43" i="8"/>
  <c r="F34" i="8"/>
  <c r="F42" i="8"/>
  <c r="F37" i="8"/>
  <c r="F36" i="8"/>
  <c r="F40" i="8"/>
  <c r="F44" i="8"/>
  <c r="F38" i="8"/>
  <c r="F39" i="8"/>
  <c r="F45" i="8"/>
  <c r="N39" i="15"/>
  <c r="N40" i="15"/>
  <c r="L6" i="15"/>
  <c r="L38" i="15" s="1"/>
  <c r="E37" i="8"/>
  <c r="E35" i="8"/>
  <c r="E38" i="8"/>
  <c r="E34" i="8"/>
  <c r="E45" i="8"/>
  <c r="E44" i="8"/>
  <c r="E40" i="8"/>
  <c r="E42" i="8"/>
  <c r="E43" i="8"/>
  <c r="E41" i="8"/>
  <c r="E36" i="8"/>
  <c r="E39" i="8"/>
  <c r="G35" i="4"/>
  <c r="G37" i="4"/>
  <c r="G42" i="4"/>
  <c r="G36" i="4"/>
  <c r="G43" i="4"/>
  <c r="G38" i="4"/>
  <c r="G40" i="4"/>
  <c r="G33" i="4"/>
  <c r="G34" i="4"/>
  <c r="G41" i="4"/>
  <c r="G44" i="4"/>
  <c r="G39" i="4"/>
  <c r="E37" i="13"/>
  <c r="E38" i="13"/>
  <c r="E43" i="13"/>
  <c r="E41" i="13"/>
  <c r="E35" i="13"/>
  <c r="E36" i="13"/>
  <c r="E45" i="13"/>
  <c r="E39" i="13"/>
  <c r="E40" i="13"/>
  <c r="E44" i="13"/>
  <c r="E34" i="13"/>
  <c r="E42" i="13"/>
  <c r="H14" i="7"/>
  <c r="I6" i="8"/>
  <c r="I6" i="13"/>
  <c r="I9" i="13" s="1"/>
  <c r="F4" i="4"/>
  <c r="E6" i="5"/>
  <c r="D46" i="8"/>
  <c r="D45" i="4"/>
  <c r="L35" i="4"/>
  <c r="L40" i="4"/>
  <c r="L41" i="4"/>
  <c r="L39" i="4"/>
  <c r="L38" i="4"/>
  <c r="L37" i="4"/>
  <c r="L42" i="4"/>
  <c r="L36" i="4"/>
  <c r="L33" i="4"/>
  <c r="L34" i="4"/>
  <c r="L44" i="4"/>
  <c r="L43" i="4"/>
  <c r="N39" i="6"/>
  <c r="N38" i="6"/>
  <c r="N37" i="6"/>
  <c r="N36" i="6"/>
  <c r="N35" i="6"/>
  <c r="N34" i="6"/>
  <c r="N33" i="6"/>
  <c r="N32" i="6"/>
  <c r="N31" i="6"/>
  <c r="N30" i="6"/>
  <c r="N29" i="6"/>
  <c r="N28" i="6"/>
  <c r="E28" i="6"/>
  <c r="E30" i="6"/>
  <c r="E32" i="6"/>
  <c r="E35" i="6"/>
  <c r="E37" i="6"/>
  <c r="E39" i="6"/>
  <c r="E29" i="6"/>
  <c r="E31" i="6"/>
  <c r="E33" i="6"/>
  <c r="E36" i="6"/>
  <c r="E38" i="6"/>
  <c r="E34" i="6"/>
  <c r="M39" i="6"/>
  <c r="M38" i="6"/>
  <c r="M37" i="6"/>
  <c r="M36" i="6"/>
  <c r="M35" i="6"/>
  <c r="M34" i="6"/>
  <c r="M33" i="6"/>
  <c r="M32" i="6"/>
  <c r="M31" i="6"/>
  <c r="M30" i="6"/>
  <c r="M29" i="6"/>
  <c r="M28" i="6"/>
  <c r="L28" i="6"/>
  <c r="L39" i="6"/>
  <c r="L38" i="6"/>
  <c r="L37" i="6"/>
  <c r="L36" i="6"/>
  <c r="L35" i="6"/>
  <c r="L34" i="6"/>
  <c r="L33" i="6"/>
  <c r="L32" i="6"/>
  <c r="L31" i="6"/>
  <c r="L30" i="6"/>
  <c r="L29" i="6"/>
  <c r="I39" i="6"/>
  <c r="I38" i="6"/>
  <c r="I37" i="6"/>
  <c r="I36" i="6"/>
  <c r="I35" i="6"/>
  <c r="I34" i="6"/>
  <c r="I33" i="6"/>
  <c r="I32" i="6"/>
  <c r="I31" i="6"/>
  <c r="I30" i="6"/>
  <c r="I29" i="6"/>
  <c r="I28" i="6"/>
  <c r="J39" i="6"/>
  <c r="J38" i="6"/>
  <c r="J37" i="6"/>
  <c r="J36" i="6"/>
  <c r="J35" i="6"/>
  <c r="J34" i="6"/>
  <c r="J33" i="6"/>
  <c r="J32" i="6"/>
  <c r="J31" i="6"/>
  <c r="J30" i="6"/>
  <c r="J29" i="6"/>
  <c r="J28" i="6"/>
  <c r="G39" i="6"/>
  <c r="G38" i="6"/>
  <c r="G37" i="6"/>
  <c r="G36" i="6"/>
  <c r="G35" i="6"/>
  <c r="G34" i="6"/>
  <c r="G33" i="6"/>
  <c r="G32" i="6"/>
  <c r="G31" i="6"/>
  <c r="G30" i="6"/>
  <c r="G29" i="6"/>
  <c r="G28" i="6"/>
  <c r="K39" i="6"/>
  <c r="K38" i="6"/>
  <c r="K37" i="6"/>
  <c r="K36" i="6"/>
  <c r="K35" i="6"/>
  <c r="K34" i="6"/>
  <c r="K33" i="6"/>
  <c r="K32" i="6"/>
  <c r="K31" i="6"/>
  <c r="K30" i="6"/>
  <c r="K29" i="6"/>
  <c r="K28" i="6"/>
  <c r="H28" i="6"/>
  <c r="H39" i="6"/>
  <c r="H38" i="6"/>
  <c r="H37" i="6"/>
  <c r="H36" i="6"/>
  <c r="H35" i="6"/>
  <c r="H34" i="6"/>
  <c r="H33" i="6"/>
  <c r="H32" i="6"/>
  <c r="H31" i="6"/>
  <c r="H30" i="6"/>
  <c r="H29" i="6"/>
  <c r="K33" i="15"/>
  <c r="E6" i="15"/>
  <c r="E34" i="15" s="1"/>
  <c r="K38" i="15"/>
  <c r="J34" i="15"/>
  <c r="K32" i="15"/>
  <c r="K46" i="15"/>
  <c r="J35" i="15"/>
  <c r="D6" i="15"/>
  <c r="D36" i="15" s="1"/>
  <c r="K35" i="15"/>
  <c r="H6" i="15"/>
  <c r="H40" i="15" s="1"/>
  <c r="Q4" i="15"/>
  <c r="Q46" i="15" s="1"/>
  <c r="J40" i="15"/>
  <c r="K40" i="15"/>
  <c r="K34" i="15"/>
  <c r="K31" i="15"/>
  <c r="K37" i="15"/>
  <c r="F6" i="15"/>
  <c r="F40" i="15" s="1"/>
  <c r="J33" i="15"/>
  <c r="J32" i="15"/>
  <c r="J36" i="15"/>
  <c r="J38" i="15"/>
  <c r="J37" i="15"/>
  <c r="J30" i="15"/>
  <c r="J31" i="15"/>
  <c r="J29" i="15"/>
  <c r="K36" i="15"/>
  <c r="K39" i="15"/>
  <c r="K29" i="15"/>
  <c r="L37" i="15"/>
  <c r="L30" i="15"/>
  <c r="L31" i="15"/>
  <c r="L36" i="15"/>
  <c r="O41" i="15"/>
  <c r="G41" i="15"/>
  <c r="M38" i="15"/>
  <c r="M40" i="15"/>
  <c r="M34" i="15"/>
  <c r="M35" i="15"/>
  <c r="M37" i="15"/>
  <c r="M29" i="15"/>
  <c r="M31" i="15"/>
  <c r="M36" i="15"/>
  <c r="M32" i="15"/>
  <c r="M39" i="15"/>
  <c r="M33" i="15"/>
  <c r="M30" i="15"/>
  <c r="I40" i="15"/>
  <c r="I31" i="15"/>
  <c r="I33" i="15"/>
  <c r="I35" i="15"/>
  <c r="I29" i="15"/>
  <c r="I38" i="15"/>
  <c r="I37" i="15"/>
  <c r="I36" i="15"/>
  <c r="I34" i="15"/>
  <c r="I30" i="15"/>
  <c r="I39" i="15"/>
  <c r="I32" i="15"/>
  <c r="L34" i="15" l="1"/>
  <c r="L29" i="15"/>
  <c r="L39" i="15"/>
  <c r="L35" i="15"/>
  <c r="L33" i="15"/>
  <c r="E39" i="15"/>
  <c r="L40" i="15"/>
  <c r="F31" i="15"/>
  <c r="L32" i="15"/>
  <c r="E38" i="15"/>
  <c r="H39" i="15"/>
  <c r="N41" i="15"/>
  <c r="E33" i="15"/>
  <c r="I35" i="13"/>
  <c r="I39" i="13"/>
  <c r="I43" i="13"/>
  <c r="I36" i="13"/>
  <c r="I41" i="13"/>
  <c r="I37" i="13"/>
  <c r="I42" i="13"/>
  <c r="I40" i="13"/>
  <c r="I44" i="13"/>
  <c r="I45" i="13"/>
  <c r="I38" i="13"/>
  <c r="I34" i="13"/>
  <c r="E46" i="13"/>
  <c r="M38" i="4"/>
  <c r="M43" i="4"/>
  <c r="M37" i="4"/>
  <c r="M42" i="4"/>
  <c r="M41" i="4"/>
  <c r="M40" i="4"/>
  <c r="M34" i="4"/>
  <c r="M39" i="4"/>
  <c r="M44" i="4"/>
  <c r="M36" i="4"/>
  <c r="M35" i="4"/>
  <c r="M33" i="4"/>
  <c r="G45" i="8"/>
  <c r="G34" i="8"/>
  <c r="G35" i="8"/>
  <c r="G36" i="8"/>
  <c r="G41" i="8"/>
  <c r="G44" i="8"/>
  <c r="G40" i="8"/>
  <c r="G37" i="8"/>
  <c r="G39" i="8"/>
  <c r="G38" i="8"/>
  <c r="G42" i="8"/>
  <c r="G43" i="8"/>
  <c r="E35" i="4"/>
  <c r="E36" i="4"/>
  <c r="E38" i="4"/>
  <c r="E34" i="4"/>
  <c r="E37" i="4"/>
  <c r="E39" i="4"/>
  <c r="E44" i="4"/>
  <c r="E40" i="4"/>
  <c r="E43" i="4"/>
  <c r="E41" i="4"/>
  <c r="E42" i="4"/>
  <c r="E33" i="4"/>
  <c r="D46" i="1"/>
  <c r="F46" i="13"/>
  <c r="E35" i="1"/>
  <c r="E37" i="1"/>
  <c r="E44" i="1"/>
  <c r="E45" i="1"/>
  <c r="E43" i="1"/>
  <c r="E38" i="1"/>
  <c r="E41" i="1"/>
  <c r="E42" i="1"/>
  <c r="E39" i="1"/>
  <c r="E40" i="1"/>
  <c r="E36" i="1"/>
  <c r="E34" i="1"/>
  <c r="G46" i="13"/>
  <c r="F45" i="4"/>
  <c r="F29" i="15"/>
  <c r="F6" i="5"/>
  <c r="G4" i="4"/>
  <c r="J6" i="13"/>
  <c r="J9" i="13" s="1"/>
  <c r="J6" i="8"/>
  <c r="I14" i="7"/>
  <c r="F46" i="8"/>
  <c r="H4" i="8"/>
  <c r="H9" i="8" s="1"/>
  <c r="H4" i="13"/>
  <c r="G6" i="7"/>
  <c r="G32" i="14"/>
  <c r="F36" i="14"/>
  <c r="F40" i="14" s="1"/>
  <c r="F4" i="1"/>
  <c r="E6" i="2"/>
  <c r="D14" i="2"/>
  <c r="F6" i="1" s="1"/>
  <c r="L45" i="4"/>
  <c r="G45" i="4"/>
  <c r="E46" i="8"/>
  <c r="N35" i="4"/>
  <c r="N33" i="4"/>
  <c r="N45" i="4" s="1"/>
  <c r="N37" i="4"/>
  <c r="N38" i="4"/>
  <c r="N34" i="4"/>
  <c r="N36" i="4"/>
  <c r="K45" i="4"/>
  <c r="H36" i="11"/>
  <c r="I32" i="11"/>
  <c r="E36" i="15"/>
  <c r="E32" i="15"/>
  <c r="E37" i="15"/>
  <c r="E30" i="15"/>
  <c r="E31" i="15"/>
  <c r="E40" i="15"/>
  <c r="D35" i="15"/>
  <c r="D40" i="15"/>
  <c r="E35" i="15"/>
  <c r="E29" i="15"/>
  <c r="H33" i="15"/>
  <c r="H32" i="15"/>
  <c r="F37" i="15"/>
  <c r="H31" i="15"/>
  <c r="H34" i="15"/>
  <c r="H36" i="15"/>
  <c r="H37" i="15"/>
  <c r="H38" i="15"/>
  <c r="H35" i="15"/>
  <c r="F39" i="15"/>
  <c r="F36" i="15"/>
  <c r="D38" i="15"/>
  <c r="D34" i="15"/>
  <c r="D37" i="15"/>
  <c r="D39" i="15"/>
  <c r="K41" i="15"/>
  <c r="J41" i="15"/>
  <c r="F34" i="15"/>
  <c r="H29" i="15"/>
  <c r="H30" i="15"/>
  <c r="F30" i="15"/>
  <c r="F32" i="15"/>
  <c r="F38" i="15"/>
  <c r="F33" i="15"/>
  <c r="F35" i="15"/>
  <c r="H40" i="6"/>
  <c r="M41" i="15"/>
  <c r="F40" i="6"/>
  <c r="G40" i="6"/>
  <c r="K40" i="6"/>
  <c r="I41" i="15"/>
  <c r="O40" i="6"/>
  <c r="D40" i="6"/>
  <c r="I40" i="6"/>
  <c r="M40" i="6"/>
  <c r="L40" i="6"/>
  <c r="J40" i="6"/>
  <c r="E40" i="6"/>
  <c r="L41" i="15" l="1"/>
  <c r="H37" i="8"/>
  <c r="H35" i="8"/>
  <c r="H36" i="8"/>
  <c r="H34" i="8"/>
  <c r="H43" i="8"/>
  <c r="H39" i="8"/>
  <c r="H40" i="8"/>
  <c r="H42" i="8"/>
  <c r="H45" i="8"/>
  <c r="H41" i="8"/>
  <c r="H38" i="8"/>
  <c r="H44" i="8"/>
  <c r="G46" i="8"/>
  <c r="I36" i="11"/>
  <c r="J32" i="11"/>
  <c r="E14" i="2"/>
  <c r="G6" i="1" s="1"/>
  <c r="G4" i="1"/>
  <c r="G10" i="1" s="1"/>
  <c r="F6" i="2"/>
  <c r="H6" i="7"/>
  <c r="I4" i="8"/>
  <c r="I9" i="8" s="1"/>
  <c r="I4" i="13"/>
  <c r="K6" i="8"/>
  <c r="J14" i="7"/>
  <c r="K6" i="13"/>
  <c r="K9" i="13" s="1"/>
  <c r="G6" i="5"/>
  <c r="H4" i="4"/>
  <c r="E46" i="1"/>
  <c r="E45" i="4"/>
  <c r="M45" i="4"/>
  <c r="J35" i="13"/>
  <c r="J39" i="13"/>
  <c r="J43" i="13"/>
  <c r="J36" i="13"/>
  <c r="J40" i="13"/>
  <c r="J44" i="13"/>
  <c r="J34" i="13"/>
  <c r="J42" i="13"/>
  <c r="J45" i="13"/>
  <c r="J38" i="13"/>
  <c r="J41" i="13"/>
  <c r="J37" i="13"/>
  <c r="G36" i="14"/>
  <c r="G40" i="14" s="1"/>
  <c r="H32" i="14"/>
  <c r="E41" i="15"/>
  <c r="F10" i="1"/>
  <c r="I46" i="13"/>
  <c r="H41" i="15"/>
  <c r="N40" i="6"/>
  <c r="Q40" i="6" s="1"/>
  <c r="Q43" i="6" s="1"/>
  <c r="F41" i="15"/>
  <c r="D41" i="15"/>
  <c r="F14" i="2" l="1"/>
  <c r="H6" i="1" s="1"/>
  <c r="G6" i="2"/>
  <c r="H4" i="1"/>
  <c r="H10" i="1" s="1"/>
  <c r="F42" i="1"/>
  <c r="F36" i="1"/>
  <c r="F41" i="1"/>
  <c r="F35" i="1"/>
  <c r="F45" i="1"/>
  <c r="F40" i="1"/>
  <c r="F44" i="1"/>
  <c r="F39" i="1"/>
  <c r="F37" i="1"/>
  <c r="F43" i="1"/>
  <c r="F38" i="1"/>
  <c r="F34" i="1"/>
  <c r="H6" i="5"/>
  <c r="I4" i="4"/>
  <c r="G37" i="1"/>
  <c r="G38" i="1"/>
  <c r="G44" i="1"/>
  <c r="G42" i="1"/>
  <c r="G41" i="1"/>
  <c r="G45" i="1"/>
  <c r="G40" i="1"/>
  <c r="G43" i="1"/>
  <c r="G36" i="1"/>
  <c r="G34" i="1"/>
  <c r="G35" i="1"/>
  <c r="G39" i="1"/>
  <c r="J46" i="13"/>
  <c r="P45" i="4"/>
  <c r="K34" i="13"/>
  <c r="K38" i="13"/>
  <c r="K42" i="13"/>
  <c r="K35" i="13"/>
  <c r="K37" i="13"/>
  <c r="K43" i="13"/>
  <c r="K44" i="13"/>
  <c r="K40" i="13"/>
  <c r="K36" i="13"/>
  <c r="K41" i="13"/>
  <c r="K39" i="13"/>
  <c r="K45" i="13"/>
  <c r="I41" i="8"/>
  <c r="I38" i="8"/>
  <c r="I40" i="8"/>
  <c r="I39" i="8"/>
  <c r="I42" i="8"/>
  <c r="I43" i="8"/>
  <c r="I35" i="8"/>
  <c r="I45" i="8"/>
  <c r="I37" i="8"/>
  <c r="I44" i="8"/>
  <c r="I34" i="8"/>
  <c r="I36" i="8"/>
  <c r="H46" i="8"/>
  <c r="H36" i="14"/>
  <c r="H40" i="14" s="1"/>
  <c r="I32" i="14"/>
  <c r="L6" i="13"/>
  <c r="L9" i="13" s="1"/>
  <c r="L6" i="8"/>
  <c r="K14" i="7"/>
  <c r="I6" i="7"/>
  <c r="J4" i="13"/>
  <c r="J4" i="8"/>
  <c r="J9" i="8" s="1"/>
  <c r="J36" i="11"/>
  <c r="K32" i="11"/>
  <c r="Q41" i="15"/>
  <c r="L32" i="11" l="1"/>
  <c r="L36" i="11" s="1"/>
  <c r="K36" i="11"/>
  <c r="J32" i="14"/>
  <c r="I36" i="14"/>
  <c r="I40" i="14" s="1"/>
  <c r="K46" i="13"/>
  <c r="H35" i="1"/>
  <c r="H41" i="1"/>
  <c r="H44" i="1"/>
  <c r="H43" i="1"/>
  <c r="H42" i="1"/>
  <c r="H37" i="1"/>
  <c r="H38" i="1"/>
  <c r="H40" i="1"/>
  <c r="H39" i="1"/>
  <c r="H36" i="1"/>
  <c r="H45" i="1"/>
  <c r="H34" i="1"/>
  <c r="J35" i="8"/>
  <c r="J41" i="8"/>
  <c r="J45" i="8"/>
  <c r="J44" i="8"/>
  <c r="J40" i="8"/>
  <c r="J37" i="8"/>
  <c r="J34" i="8"/>
  <c r="J36" i="8"/>
  <c r="J38" i="8"/>
  <c r="J39" i="8"/>
  <c r="J42" i="8"/>
  <c r="J43" i="8"/>
  <c r="I46" i="8"/>
  <c r="H6" i="2"/>
  <c r="I4" i="1"/>
  <c r="G14" i="2"/>
  <c r="I6" i="1" s="1"/>
  <c r="K4" i="13"/>
  <c r="K4" i="8"/>
  <c r="K9" i="8" s="1"/>
  <c r="J6" i="7"/>
  <c r="J4" i="4"/>
  <c r="I6" i="5"/>
  <c r="M6" i="8"/>
  <c r="M6" i="13"/>
  <c r="M9" i="13" s="1"/>
  <c r="L14" i="7"/>
  <c r="G46" i="1"/>
  <c r="F46" i="1"/>
  <c r="L34" i="13"/>
  <c r="L38" i="13"/>
  <c r="L42" i="13"/>
  <c r="L39" i="13"/>
  <c r="L36" i="13"/>
  <c r="L44" i="13"/>
  <c r="L37" i="13"/>
  <c r="L41" i="13"/>
  <c r="L45" i="13"/>
  <c r="L35" i="13"/>
  <c r="L43" i="13"/>
  <c r="L40" i="13"/>
  <c r="K45" i="8" l="1"/>
  <c r="K34" i="8"/>
  <c r="K40" i="8"/>
  <c r="K36" i="8"/>
  <c r="K42" i="8"/>
  <c r="K41" i="8"/>
  <c r="K35" i="8"/>
  <c r="K43" i="8"/>
  <c r="K44" i="8"/>
  <c r="K38" i="8"/>
  <c r="K39" i="8"/>
  <c r="K37" i="8"/>
  <c r="J6" i="5"/>
  <c r="K4" i="4"/>
  <c r="N6" i="8"/>
  <c r="N6" i="13"/>
  <c r="N9" i="13" s="1"/>
  <c r="J4" i="1"/>
  <c r="J10" i="1" s="1"/>
  <c r="H14" i="2"/>
  <c r="J6" i="1" s="1"/>
  <c r="I6" i="2"/>
  <c r="J46" i="8"/>
  <c r="K32" i="14"/>
  <c r="J36" i="14"/>
  <c r="J40" i="14" s="1"/>
  <c r="L46" i="13"/>
  <c r="M34" i="13"/>
  <c r="M38" i="13"/>
  <c r="M42" i="13"/>
  <c r="M39" i="13"/>
  <c r="M40" i="13"/>
  <c r="M37" i="13"/>
  <c r="M41" i="13"/>
  <c r="M45" i="13"/>
  <c r="M35" i="13"/>
  <c r="M43" i="13"/>
  <c r="M36" i="13"/>
  <c r="M44" i="13"/>
  <c r="L4" i="13"/>
  <c r="K6" i="7"/>
  <c r="L4" i="8"/>
  <c r="L9" i="8" s="1"/>
  <c r="I10" i="1"/>
  <c r="H46" i="1"/>
  <c r="L32" i="14" l="1"/>
  <c r="L36" i="14" s="1"/>
  <c r="L40" i="14" s="1"/>
  <c r="K36" i="14"/>
  <c r="K40" i="14" s="1"/>
  <c r="N34" i="13"/>
  <c r="N46" i="13" s="1"/>
  <c r="P46" i="13" s="1"/>
  <c r="N35" i="13"/>
  <c r="N36" i="13"/>
  <c r="N37" i="13"/>
  <c r="N38" i="13"/>
  <c r="N39" i="13"/>
  <c r="M46" i="13"/>
  <c r="I42" i="1"/>
  <c r="I40" i="1"/>
  <c r="I37" i="1"/>
  <c r="I45" i="1"/>
  <c r="I38" i="1"/>
  <c r="I35" i="1"/>
  <c r="I39" i="1"/>
  <c r="I43" i="1"/>
  <c r="I41" i="1"/>
  <c r="I44" i="1"/>
  <c r="I36" i="1"/>
  <c r="I34" i="1"/>
  <c r="K4" i="1"/>
  <c r="K10" i="1" s="1"/>
  <c r="J6" i="2"/>
  <c r="I14" i="2"/>
  <c r="K6" i="1" s="1"/>
  <c r="K46" i="8"/>
  <c r="M4" i="8"/>
  <c r="M9" i="8" s="1"/>
  <c r="M4" i="13"/>
  <c r="L6" i="7"/>
  <c r="J39" i="1"/>
  <c r="J34" i="1"/>
  <c r="J43" i="1"/>
  <c r="J35" i="1"/>
  <c r="J36" i="1"/>
  <c r="J37" i="1"/>
  <c r="J42" i="1"/>
  <c r="J45" i="1"/>
  <c r="J41" i="1"/>
  <c r="J40" i="1"/>
  <c r="J44" i="1"/>
  <c r="J38" i="1"/>
  <c r="L43" i="8"/>
  <c r="L44" i="8"/>
  <c r="L36" i="8"/>
  <c r="L38" i="8"/>
  <c r="L45" i="8"/>
  <c r="L37" i="8"/>
  <c r="L41" i="8"/>
  <c r="L39" i="8"/>
  <c r="L42" i="8"/>
  <c r="L40" i="8"/>
  <c r="L34" i="8"/>
  <c r="L35" i="8"/>
  <c r="L4" i="4"/>
  <c r="K6" i="5"/>
  <c r="J46" i="1" l="1"/>
  <c r="K35" i="1"/>
  <c r="K45" i="1"/>
  <c r="K38" i="1"/>
  <c r="K44" i="1"/>
  <c r="K36" i="1"/>
  <c r="K43" i="1"/>
  <c r="K40" i="1"/>
  <c r="K34" i="1"/>
  <c r="K42" i="1"/>
  <c r="K37" i="1"/>
  <c r="K41" i="1"/>
  <c r="K39" i="1"/>
  <c r="N4" i="8"/>
  <c r="N9" i="8" s="1"/>
  <c r="N4" i="13"/>
  <c r="L6" i="5"/>
  <c r="N4" i="4" s="1"/>
  <c r="M4" i="4"/>
  <c r="M41" i="8"/>
  <c r="M38" i="8"/>
  <c r="M40" i="8"/>
  <c r="M34" i="8"/>
  <c r="M43" i="8"/>
  <c r="M45" i="8"/>
  <c r="M37" i="8"/>
  <c r="M35" i="8"/>
  <c r="M36" i="8"/>
  <c r="M42" i="8"/>
  <c r="M44" i="8"/>
  <c r="M39" i="8"/>
  <c r="I46" i="1"/>
  <c r="L46" i="8"/>
  <c r="K6" i="2"/>
  <c r="J14" i="2"/>
  <c r="L6" i="1" s="1"/>
  <c r="L4" i="1"/>
  <c r="L10" i="1" s="1"/>
  <c r="L6" i="2" l="1"/>
  <c r="M4" i="1"/>
  <c r="K14" i="2"/>
  <c r="M6" i="1" s="1"/>
  <c r="L34" i="1"/>
  <c r="L40" i="1"/>
  <c r="L35" i="1"/>
  <c r="L36" i="1"/>
  <c r="L42" i="1"/>
  <c r="L37" i="1"/>
  <c r="L39" i="1"/>
  <c r="L41" i="1"/>
  <c r="L38" i="1"/>
  <c r="L45" i="1"/>
  <c r="L44" i="1"/>
  <c r="L43" i="1"/>
  <c r="N36" i="8"/>
  <c r="N38" i="8"/>
  <c r="N35" i="8"/>
  <c r="N34" i="8"/>
  <c r="N39" i="8"/>
  <c r="N37" i="8"/>
  <c r="M46" i="8"/>
  <c r="K46" i="1"/>
  <c r="L46" i="1" l="1"/>
  <c r="N46" i="8"/>
  <c r="P46" i="8" s="1"/>
  <c r="M10" i="1"/>
  <c r="L14" i="2"/>
  <c r="N6" i="1" s="1"/>
  <c r="P6" i="1" s="1"/>
  <c r="P8" i="1" s="1"/>
  <c r="N4" i="1"/>
  <c r="M43" i="1" l="1"/>
  <c r="M37" i="1"/>
  <c r="M44" i="1"/>
  <c r="M40" i="1"/>
  <c r="M39" i="1"/>
  <c r="M34" i="1"/>
  <c r="M41" i="1"/>
  <c r="M36" i="1"/>
  <c r="M35" i="1"/>
  <c r="M45" i="1"/>
  <c r="M42" i="1"/>
  <c r="M38" i="1"/>
  <c r="N10" i="1"/>
  <c r="M46" i="1" l="1"/>
  <c r="N35" i="1"/>
  <c r="N38" i="1"/>
  <c r="N39" i="1"/>
  <c r="N37" i="1"/>
  <c r="N34" i="1"/>
  <c r="N36" i="1"/>
  <c r="N46" i="1" l="1"/>
  <c r="P46" i="1" s="1"/>
</calcChain>
</file>

<file path=xl/comments1.xml><?xml version="1.0" encoding="utf-8"?>
<comments xmlns="http://schemas.openxmlformats.org/spreadsheetml/2006/main">
  <authors>
    <author>Øystein Fjæra</author>
  </authors>
  <commentList>
    <comment ref="Q4" authorId="0" shapeId="0">
      <text>
        <r>
          <rPr>
            <b/>
            <sz val="9"/>
            <color indexed="81"/>
            <rFont val="Tahoma"/>
            <family val="2"/>
          </rPr>
          <t>Øystein Fjæra:</t>
        </r>
        <r>
          <rPr>
            <sz val="9"/>
            <color indexed="81"/>
            <rFont val="Tahoma"/>
            <family val="2"/>
          </rPr>
          <t xml:space="preserve">
Lagt inn formel om sjekker hvilket bonusrammealternativ som velges. </t>
        </r>
      </text>
    </comment>
    <comment ref="B46" authorId="0" shapeId="0">
      <text>
        <r>
          <rPr>
            <b/>
            <sz val="9"/>
            <color indexed="81"/>
            <rFont val="Tahoma"/>
            <family val="2"/>
          </rPr>
          <t>Øystein Fjæra:</t>
        </r>
        <r>
          <rPr>
            <sz val="9"/>
            <color indexed="81"/>
            <rFont val="Tahoma"/>
            <family val="2"/>
          </rPr>
          <t xml:space="preserve">
Linjen inneholder formler som sjekker bonusrammealternativet. </t>
        </r>
      </text>
    </comment>
  </commentList>
</comments>
</file>

<file path=xl/sharedStrings.xml><?xml version="1.0" encoding="utf-8"?>
<sst xmlns="http://schemas.openxmlformats.org/spreadsheetml/2006/main" count="538" uniqueCount="122">
  <si>
    <t>Antall rutesatte busser (0-punkt):</t>
  </si>
  <si>
    <t>Sats per vogn per mnd:</t>
  </si>
  <si>
    <t>Mnd/år</t>
  </si>
  <si>
    <t>Januar</t>
  </si>
  <si>
    <t>Februar</t>
  </si>
  <si>
    <t>Mars</t>
  </si>
  <si>
    <t>April</t>
  </si>
  <si>
    <t>Mai</t>
  </si>
  <si>
    <t>Juni</t>
  </si>
  <si>
    <t>Juli</t>
  </si>
  <si>
    <t>August</t>
  </si>
  <si>
    <t>September</t>
  </si>
  <si>
    <t>Oktober</t>
  </si>
  <si>
    <t>November</t>
  </si>
  <si>
    <t>Desember</t>
  </si>
  <si>
    <t>Bonusutbetaling</t>
  </si>
  <si>
    <t>Sum</t>
  </si>
  <si>
    <t>-</t>
  </si>
  <si>
    <t>Mulig årlig bonus:</t>
  </si>
  <si>
    <t>Vekstfaktor busser</t>
  </si>
  <si>
    <t>Vekstfaktor bonusutbetaling</t>
  </si>
  <si>
    <t>Akk</t>
  </si>
  <si>
    <t>A1 - Per buss bonus</t>
  </si>
  <si>
    <t xml:space="preserve">Akk. tot. </t>
  </si>
  <si>
    <t>Mulig bonus pr mnd.</t>
  </si>
  <si>
    <t>Intervaller gir bonus</t>
  </si>
  <si>
    <t xml:space="preserve">fra </t>
  </si>
  <si>
    <t>til</t>
  </si>
  <si>
    <t>Innslagspunkt ?</t>
  </si>
  <si>
    <t>Antall rutesatte busser:</t>
  </si>
  <si>
    <t>Inndataene her er %-vis andel av faktisk produksjon som gjennomføres med nullutslippsbuss (kan kontrolleres vha SIS og FRIDA).</t>
  </si>
  <si>
    <t>Inndata (% av planlagt produksjon som er gjennomført med nullutslippsbusser)</t>
  </si>
  <si>
    <t>Inngitt mål (% av planlagt produksjon som er gjennomført med nullutslippsbusser)</t>
  </si>
  <si>
    <t>Antall rutesatte busser (beregningsgrunnlag):</t>
  </si>
  <si>
    <t>Akk. tot. Over hele kontraktsperioden</t>
  </si>
  <si>
    <t>Tidliginnføringsbonus</t>
  </si>
  <si>
    <t>Tidliginnfasingsbonus:</t>
  </si>
  <si>
    <t>A2 - Produksjonsbasert</t>
  </si>
  <si>
    <t>% av planlagt produksjon som er gjennomført med nullutslippsbusser (Inndata)</t>
  </si>
  <si>
    <t>Bonusberegning</t>
  </si>
  <si>
    <t>Antall busser (Inndata)</t>
  </si>
  <si>
    <t xml:space="preserve">Det utbetales ikke bonus før det inngitte målet oppfylles. </t>
  </si>
  <si>
    <t>Sats per buss pr måned</t>
  </si>
  <si>
    <t>A3.2 - Produksjonsbasert</t>
  </si>
  <si>
    <t>A3.1 - Vognbasert</t>
  </si>
  <si>
    <t>Total Antall planlagte turer</t>
  </si>
  <si>
    <t>Total Antall planlagte turer kjørt</t>
  </si>
  <si>
    <t>2017*</t>
  </si>
  <si>
    <t>1272</t>
  </si>
  <si>
    <t>Lillestrøm</t>
  </si>
  <si>
    <t>3837</t>
  </si>
  <si>
    <t>2016</t>
  </si>
  <si>
    <t>3447</t>
  </si>
  <si>
    <t>2015</t>
  </si>
  <si>
    <t>2605</t>
  </si>
  <si>
    <t>2014</t>
  </si>
  <si>
    <t>199</t>
  </si>
  <si>
    <t>2013</t>
  </si>
  <si>
    <t>n</t>
  </si>
  <si>
    <t>Topp 2</t>
  </si>
  <si>
    <t>tenderName</t>
  </si>
  <si>
    <t>måned</t>
  </si>
  <si>
    <t>Grunnbonus</t>
  </si>
  <si>
    <t>Tidliginnfasingsbonus</t>
  </si>
  <si>
    <t>hvis faktisk = mål</t>
  </si>
  <si>
    <t>så 0 i bonus</t>
  </si>
  <si>
    <t>hvis faktisk er større enn mål</t>
  </si>
  <si>
    <t>regn ut overprestasjonens andel av målet og overprestasjonsandelen med bonusbeløpet</t>
  </si>
  <si>
    <t>hvis faktisk er mindre enn mål</t>
  </si>
  <si>
    <t>regn ut underprestasjonens andel av målet og underprestasjonsandelen ganges med bonusbeløpet</t>
  </si>
  <si>
    <t>Etter mitt syn ikke egnet</t>
  </si>
  <si>
    <t xml:space="preserve">Det er i operatørenes interesse at målet er så lavt som mulig siden bonusnivået blir regnet ut av andel overprestasjon. 
Videre er det ikke nødvendigvis en fornufig incentiveringsmodell all den tid det er satt et makstak for utbetaling. Det forsterker interessen om å holde målet lavt, slik at det blir enda mindre attaktivt å overprestere ut over en dobling. Jo mindre man overpresterer ut over doblingen (som jo kan være svært lav), jo mindre godtgjørelse får man for hver buss. </t>
  </si>
  <si>
    <t xml:space="preserve">Man kan også se for seg en ordning der hver % av produksjonen har en eksponensiell økning. Utfordringen eksponensiell vekst blir for så vidt den samme som over, men ikke i like stor grad. Dog vil dette etter hvert miste sin effekt da det skal settes et makstak. </t>
  </si>
  <si>
    <t xml:space="preserve">Uavhengig av hvilken incentivmodell som velges, </t>
  </si>
  <si>
    <t xml:space="preserve">Antallet busser totalt fastsetter hvor mye det blir godtgjort per nullutlippsbuss. </t>
  </si>
  <si>
    <t>Variabel del av grunnbonus</t>
  </si>
  <si>
    <t>Fast del av grunnbonus</t>
  </si>
  <si>
    <t>Inngitt mål (bussantall)</t>
  </si>
  <si>
    <t>Inndata (busser)</t>
  </si>
  <si>
    <t>Tot</t>
  </si>
  <si>
    <t>s</t>
  </si>
  <si>
    <t>Bonusrammealternativ</t>
  </si>
  <si>
    <t>Dobbel bonus ved bonusrammealt. 1</t>
  </si>
  <si>
    <t xml:space="preserve">Sett inn bonusrammealternativ. </t>
  </si>
  <si>
    <t>Akk. tot.</t>
  </si>
  <si>
    <t>% av kontraktsverdi, korrigert for inflasjon</t>
  </si>
  <si>
    <t>Ventet prisstigning fra 2019-kroner</t>
  </si>
  <si>
    <t xml:space="preserve"> </t>
  </si>
  <si>
    <t>2019-kr</t>
  </si>
  <si>
    <t>Målplan (% av planlagt produksjon som er gjennomført med nullutslippsteknologi)</t>
  </si>
  <si>
    <t xml:space="preserve">Kontraktsverdi korrigert for inflasjon, uten volumendring. </t>
  </si>
  <si>
    <t>Forventet kontraktsverdi</t>
  </si>
  <si>
    <t>Beregnet kontraktsverdi</t>
  </si>
  <si>
    <t>Bonusrammer</t>
  </si>
  <si>
    <t>Inngitt målplan</t>
  </si>
  <si>
    <t>Innhold hentes fra "Inndata"</t>
  </si>
  <si>
    <t xml:space="preserve">Tabellen regner ut differansen mellom inngitt mål og oppnådd resultat. </t>
  </si>
  <si>
    <t>Oppnådd (% av planlagt produksjon som er gjennomført med utslippsfrie busser)</t>
  </si>
  <si>
    <t>Beregning av bonus</t>
  </si>
  <si>
    <t>Bonusrammens størrelse i % av estimert kontraktsverdi</t>
  </si>
  <si>
    <t>Maks bonus pr. mnd.</t>
  </si>
  <si>
    <t>Eksempel på bonusberegning</t>
  </si>
  <si>
    <t>Velg alternativ (1, 2 eller 3)</t>
  </si>
  <si>
    <t>1. Legg inn forventet kontraktsverdi i arket for Inndata</t>
  </si>
  <si>
    <t>2. Legg inn målplanen din, også i arket for Inndata</t>
  </si>
  <si>
    <t xml:space="preserve">Du kan legge inn noe i de lysegrønne feltene. </t>
  </si>
  <si>
    <t>3. Gå inn i arket beregninger og velg hvilket alternativ du vil ha beregninger på</t>
  </si>
  <si>
    <t>Avvik mellom målplan og resultat</t>
  </si>
  <si>
    <t xml:space="preserve">4. Gjør justeringer i resultatoversikten for å se hva bonusutbetalingene kan bli. </t>
  </si>
  <si>
    <t xml:space="preserve">Du kan legge inn endringer i de lysegrønne feltene. </t>
  </si>
  <si>
    <t xml:space="preserve">Hva som ligger i de ulike alternativene står omtalt i notatet. </t>
  </si>
  <si>
    <t>Totalt over kontraktsperioden</t>
  </si>
  <si>
    <t>Gjennomsnittlig andel som utføres med utslippsfrie busser:</t>
  </si>
  <si>
    <t>Samlet utbetaling</t>
  </si>
  <si>
    <t>% av est. Kontraktsverdi</t>
  </si>
  <si>
    <t>5. Resultatene vises i tabellen:</t>
  </si>
  <si>
    <t>"Beregn din egen bonus"</t>
  </si>
  <si>
    <t>Alternativ</t>
  </si>
  <si>
    <t>Årlig bonusramme</t>
  </si>
  <si>
    <t>justerte kr</t>
  </si>
  <si>
    <t xml:space="preserve">Dobbel bonusutbetaling i alt. 2 og 3. </t>
  </si>
  <si>
    <t xml:space="preserve">MERK: Dette excel-arket krever MS Excel 2013 eller nyere for å fungere korrekt.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</si>
</sst>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kr&quot;\ * #,##0.00_-;\-&quot;kr&quot;\ * #,##0.00_-;_-&quot;kr&quot;\ * &quot;-&quot;??_-;_-@_-"/>
    <numFmt numFmtId="43" formatCode="_-* #,##0.00_-;\-* #,##0.00_-;_-* &quot;-&quot;??_-;_-@_-"/>
    <numFmt numFmtId="164" formatCode="_-&quot;kr&quot;\ * #,##0_-;\-&quot;kr&quot;\ * #,##0_-;_-&quot;kr&quot;\ * &quot;-&quot;??_-;_-@_-"/>
    <numFmt numFmtId="165" formatCode="_-* #,##0_-;\-* #,##0_-;_-* &quot;-&quot;??_-;_-@_-"/>
    <numFmt numFmtId="166" formatCode="#,##0%"/>
    <numFmt numFmtId="167" formatCode="0.0\ %"/>
  </numFmts>
  <fonts count="14" x14ac:knownFonts="1">
    <font>
      <sz val="10"/>
      <color theme="1"/>
      <name val="Arial"/>
      <family val="2"/>
    </font>
    <font>
      <sz val="10"/>
      <color theme="1"/>
      <name val="Arial"/>
      <family val="2"/>
    </font>
    <font>
      <b/>
      <sz val="10"/>
      <color theme="1"/>
      <name val="Arial"/>
      <family val="2"/>
    </font>
    <font>
      <i/>
      <sz val="10"/>
      <color theme="1"/>
      <name val="Arial"/>
      <family val="2"/>
    </font>
    <font>
      <b/>
      <sz val="10"/>
      <color theme="0"/>
      <name val="Arial"/>
      <family val="2"/>
    </font>
    <font>
      <sz val="10"/>
      <name val="Arial"/>
      <family val="2"/>
    </font>
    <font>
      <sz val="11"/>
      <color indexed="63"/>
      <name val="Verdana"/>
      <family val="2"/>
    </font>
    <font>
      <b/>
      <sz val="16"/>
      <color theme="1"/>
      <name val="Arial"/>
      <family val="2"/>
    </font>
    <font>
      <sz val="9"/>
      <color indexed="81"/>
      <name val="Tahoma"/>
      <family val="2"/>
    </font>
    <font>
      <b/>
      <sz val="9"/>
      <color indexed="81"/>
      <name val="Tahoma"/>
      <family val="2"/>
    </font>
    <font>
      <sz val="10"/>
      <color rgb="FFFFFFFF"/>
      <name val="Arial"/>
      <family val="2"/>
    </font>
    <font>
      <b/>
      <sz val="10"/>
      <name val="Arial"/>
      <family val="2"/>
    </font>
    <font>
      <b/>
      <sz val="24"/>
      <color theme="1"/>
      <name val="Arial"/>
      <family val="2"/>
    </font>
    <font>
      <sz val="8"/>
      <color theme="1"/>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indexed="41"/>
        <bgColor indexed="64"/>
      </patternFill>
    </fill>
    <fill>
      <patternFill patternType="solid">
        <fgColor indexed="9"/>
        <bgColor indexed="64"/>
      </patternFill>
    </fill>
    <fill>
      <patternFill patternType="solid">
        <fgColor theme="2"/>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indexed="64"/>
      </patternFill>
    </fill>
    <fill>
      <patternFill patternType="solid">
        <fgColor theme="7"/>
        <bgColor indexed="64"/>
      </patternFill>
    </fill>
    <fill>
      <patternFill patternType="solid">
        <fgColor theme="8" tint="0.79998168889431442"/>
        <bgColor indexed="64"/>
      </patternFill>
    </fill>
    <fill>
      <patternFill patternType="solid">
        <fgColor theme="1"/>
        <bgColor indexed="64"/>
      </patternFill>
    </fill>
    <fill>
      <patternFill patternType="solid">
        <fgColor rgb="FFE4EDCC"/>
        <bgColor indexed="64"/>
      </patternFill>
    </fill>
    <fill>
      <patternFill patternType="solid">
        <fgColor theme="1" tint="0.89999084444715716"/>
        <bgColor indexed="64"/>
      </patternFill>
    </fill>
  </fills>
  <borders count="3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209">
    <xf numFmtId="0" fontId="0" fillId="0" borderId="0" xfId="0"/>
    <xf numFmtId="9" fontId="0" fillId="0" borderId="0" xfId="2" applyFont="1"/>
    <xf numFmtId="164" fontId="0" fillId="0" borderId="0" xfId="1" applyNumberFormat="1" applyFont="1"/>
    <xf numFmtId="164" fontId="0" fillId="0" borderId="0" xfId="0" applyNumberFormat="1"/>
    <xf numFmtId="0" fontId="0" fillId="0" borderId="1" xfId="0" applyBorder="1"/>
    <xf numFmtId="0" fontId="0" fillId="0" borderId="0" xfId="0" applyBorder="1"/>
    <xf numFmtId="0" fontId="0" fillId="0" borderId="2" xfId="0" applyBorder="1"/>
    <xf numFmtId="0" fontId="0" fillId="0" borderId="3" xfId="0" applyBorder="1"/>
    <xf numFmtId="164" fontId="0" fillId="0" borderId="0" xfId="0" applyNumberFormat="1" applyBorder="1"/>
    <xf numFmtId="164" fontId="0" fillId="0" borderId="2" xfId="0" applyNumberFormat="1" applyBorder="1"/>
    <xf numFmtId="0" fontId="0" fillId="0" borderId="6" xfId="0" applyBorder="1"/>
    <xf numFmtId="164" fontId="0" fillId="0" borderId="7" xfId="0" applyNumberFormat="1" applyBorder="1"/>
    <xf numFmtId="0" fontId="0" fillId="0" borderId="0" xfId="0" applyBorder="1" applyAlignment="1">
      <alignment horizontal="right"/>
    </xf>
    <xf numFmtId="0" fontId="3" fillId="0" borderId="0" xfId="0" applyFont="1" applyBorder="1"/>
    <xf numFmtId="0" fontId="3" fillId="0" borderId="2" xfId="0" applyFont="1" applyBorder="1"/>
    <xf numFmtId="10" fontId="0" fillId="0" borderId="0" xfId="0" applyNumberFormat="1"/>
    <xf numFmtId="0" fontId="0" fillId="0" borderId="2" xfId="0" applyBorder="1" applyAlignment="1">
      <alignment horizontal="right"/>
    </xf>
    <xf numFmtId="0" fontId="0" fillId="0" borderId="5" xfId="0" applyBorder="1" applyAlignment="1">
      <alignment horizontal="right"/>
    </xf>
    <xf numFmtId="164" fontId="0" fillId="0" borderId="8" xfId="0" applyNumberFormat="1" applyBorder="1"/>
    <xf numFmtId="164" fontId="0" fillId="0" borderId="2" xfId="0" applyNumberFormat="1" applyBorder="1" applyAlignment="1">
      <alignment horizontal="right"/>
    </xf>
    <xf numFmtId="2" fontId="0" fillId="0" borderId="0" xfId="0" applyNumberFormat="1"/>
    <xf numFmtId="0" fontId="2" fillId="0" borderId="0" xfId="0" applyFont="1"/>
    <xf numFmtId="9" fontId="0" fillId="0" borderId="0" xfId="0" applyNumberFormat="1"/>
    <xf numFmtId="0" fontId="0" fillId="3" borderId="0" xfId="0" applyFill="1"/>
    <xf numFmtId="0" fontId="0" fillId="0" borderId="0" xfId="0" applyBorder="1" applyAlignment="1">
      <alignment horizontal="center"/>
    </xf>
    <xf numFmtId="164" fontId="0" fillId="0" borderId="2" xfId="0" applyNumberFormat="1" applyBorder="1" applyAlignment="1">
      <alignment horizontal="center"/>
    </xf>
    <xf numFmtId="164" fontId="0" fillId="0" borderId="0" xfId="1" applyNumberFormat="1" applyFont="1" applyBorder="1"/>
    <xf numFmtId="9" fontId="0" fillId="0" borderId="0" xfId="2" applyFont="1" applyBorder="1" applyAlignment="1">
      <alignment horizontal="center"/>
    </xf>
    <xf numFmtId="9" fontId="0" fillId="0" borderId="0" xfId="2" applyFont="1" applyBorder="1"/>
    <xf numFmtId="9" fontId="0" fillId="0" borderId="0" xfId="2" applyFont="1" applyFill="1" applyBorder="1"/>
    <xf numFmtId="9" fontId="0" fillId="0" borderId="2" xfId="2" applyFont="1" applyFill="1" applyBorder="1"/>
    <xf numFmtId="9" fontId="0" fillId="0" borderId="2" xfId="2" applyFont="1" applyFill="1" applyBorder="1" applyAlignment="1">
      <alignment horizontal="center"/>
    </xf>
    <xf numFmtId="9" fontId="0" fillId="0" borderId="2" xfId="2" applyFont="1" applyBorder="1" applyAlignment="1">
      <alignment horizontal="center"/>
    </xf>
    <xf numFmtId="9" fontId="0" fillId="0" borderId="4" xfId="2" applyFont="1" applyBorder="1"/>
    <xf numFmtId="9" fontId="0" fillId="0" borderId="5" xfId="2" applyFont="1" applyBorder="1" applyAlignment="1">
      <alignment horizontal="center"/>
    </xf>
    <xf numFmtId="0" fontId="3" fillId="2" borderId="1" xfId="0" applyFont="1" applyFill="1" applyBorder="1"/>
    <xf numFmtId="0" fontId="3" fillId="2" borderId="0" xfId="0" applyFont="1" applyFill="1" applyBorder="1"/>
    <xf numFmtId="0" fontId="3" fillId="2" borderId="2" xfId="0" applyFont="1" applyFill="1" applyBorder="1"/>
    <xf numFmtId="164" fontId="0" fillId="0" borderId="4" xfId="1" applyNumberFormat="1" applyFont="1" applyBorder="1"/>
    <xf numFmtId="164" fontId="0" fillId="0" borderId="5" xfId="1" applyNumberFormat="1" applyFont="1" applyBorder="1"/>
    <xf numFmtId="0" fontId="0" fillId="0" borderId="12" xfId="0" applyBorder="1"/>
    <xf numFmtId="164" fontId="0" fillId="0" borderId="13" xfId="1" applyNumberFormat="1" applyFont="1" applyBorder="1"/>
    <xf numFmtId="164" fontId="0" fillId="0" borderId="14" xfId="0" applyNumberFormat="1" applyBorder="1" applyAlignment="1">
      <alignment horizontal="center"/>
    </xf>
    <xf numFmtId="9" fontId="0" fillId="4" borderId="0" xfId="2" applyFont="1" applyFill="1" applyBorder="1"/>
    <xf numFmtId="9" fontId="0" fillId="4" borderId="4" xfId="2" applyFont="1" applyFill="1" applyBorder="1"/>
    <xf numFmtId="9" fontId="0" fillId="4" borderId="2" xfId="2" applyFont="1" applyFill="1" applyBorder="1"/>
    <xf numFmtId="0" fontId="0" fillId="4" borderId="0" xfId="0" applyFill="1" applyBorder="1"/>
    <xf numFmtId="0" fontId="0" fillId="4" borderId="4" xfId="0" applyFill="1" applyBorder="1"/>
    <xf numFmtId="0" fontId="0" fillId="4" borderId="2" xfId="0" applyFill="1" applyBorder="1"/>
    <xf numFmtId="0" fontId="0" fillId="4" borderId="15" xfId="0" applyFill="1" applyBorder="1"/>
    <xf numFmtId="0" fontId="0" fillId="4" borderId="19" xfId="0" applyFill="1" applyBorder="1"/>
    <xf numFmtId="0" fontId="0" fillId="4" borderId="1" xfId="0" applyFill="1" applyBorder="1"/>
    <xf numFmtId="0" fontId="0" fillId="4" borderId="3" xfId="0" applyFill="1" applyBorder="1"/>
    <xf numFmtId="0" fontId="0" fillId="4" borderId="20" xfId="0" applyFill="1" applyBorder="1"/>
    <xf numFmtId="164" fontId="0" fillId="0" borderId="19" xfId="0" applyNumberFormat="1" applyBorder="1"/>
    <xf numFmtId="164" fontId="0" fillId="0" borderId="1" xfId="0" applyNumberFormat="1" applyBorder="1"/>
    <xf numFmtId="164" fontId="0" fillId="0" borderId="12" xfId="0" applyNumberFormat="1" applyBorder="1"/>
    <xf numFmtId="164" fontId="0" fillId="0" borderId="21" xfId="1" applyNumberFormat="1" applyFont="1" applyBorder="1"/>
    <xf numFmtId="164" fontId="0" fillId="0" borderId="22" xfId="1" applyNumberFormat="1" applyFont="1" applyBorder="1"/>
    <xf numFmtId="0" fontId="0" fillId="0" borderId="22" xfId="0" applyBorder="1"/>
    <xf numFmtId="164" fontId="0" fillId="0" borderId="24" xfId="1" applyNumberFormat="1" applyFont="1" applyBorder="1"/>
    <xf numFmtId="0" fontId="0" fillId="0" borderId="13" xfId="0" applyBorder="1"/>
    <xf numFmtId="164" fontId="0" fillId="0" borderId="25" xfId="0" applyNumberFormat="1" applyBorder="1"/>
    <xf numFmtId="164" fontId="0" fillId="0" borderId="23" xfId="0" applyNumberFormat="1" applyBorder="1" applyAlignment="1">
      <alignment horizontal="right"/>
    </xf>
    <xf numFmtId="1" fontId="0" fillId="0" borderId="0" xfId="0" applyNumberFormat="1"/>
    <xf numFmtId="9" fontId="0" fillId="4" borderId="19" xfId="2" applyFont="1" applyFill="1" applyBorder="1"/>
    <xf numFmtId="9" fontId="0" fillId="4" borderId="1" xfId="2" applyFont="1" applyFill="1" applyBorder="1"/>
    <xf numFmtId="9" fontId="0" fillId="4" borderId="3" xfId="2" applyFont="1" applyFill="1" applyBorder="1"/>
    <xf numFmtId="43" fontId="0" fillId="0" borderId="0" xfId="3" applyFont="1" applyBorder="1" applyAlignment="1">
      <alignment horizontal="center"/>
    </xf>
    <xf numFmtId="43" fontId="0" fillId="0" borderId="2" xfId="3" applyFont="1" applyFill="1" applyBorder="1" applyAlignment="1">
      <alignment horizontal="center"/>
    </xf>
    <xf numFmtId="43" fontId="0" fillId="0" borderId="2" xfId="3" applyFont="1" applyBorder="1" applyAlignment="1">
      <alignment horizontal="center"/>
    </xf>
    <xf numFmtId="43" fontId="0" fillId="0" borderId="5" xfId="3" applyFont="1" applyBorder="1" applyAlignment="1">
      <alignment horizontal="center"/>
    </xf>
    <xf numFmtId="165" fontId="0" fillId="0" borderId="0" xfId="3" applyNumberFormat="1" applyFont="1" applyBorder="1" applyAlignment="1">
      <alignment horizontal="center"/>
    </xf>
    <xf numFmtId="165" fontId="0" fillId="4" borderId="0" xfId="3" applyNumberFormat="1" applyFont="1" applyFill="1" applyBorder="1"/>
    <xf numFmtId="165" fontId="0" fillId="4" borderId="1" xfId="3" applyNumberFormat="1" applyFont="1" applyFill="1" applyBorder="1"/>
    <xf numFmtId="165" fontId="0" fillId="4" borderId="2" xfId="3" applyNumberFormat="1" applyFont="1" applyFill="1" applyBorder="1"/>
    <xf numFmtId="165" fontId="0" fillId="4" borderId="19" xfId="3" applyNumberFormat="1" applyFont="1" applyFill="1" applyBorder="1"/>
    <xf numFmtId="165" fontId="0" fillId="0" borderId="2" xfId="3" applyNumberFormat="1" applyFont="1" applyFill="1" applyBorder="1" applyAlignment="1">
      <alignment horizontal="center"/>
    </xf>
    <xf numFmtId="165" fontId="0" fillId="0" borderId="2" xfId="3" applyNumberFormat="1" applyFont="1" applyBorder="1" applyAlignment="1">
      <alignment horizontal="center"/>
    </xf>
    <xf numFmtId="165" fontId="0" fillId="4" borderId="4" xfId="3" applyNumberFormat="1" applyFont="1" applyFill="1" applyBorder="1"/>
    <xf numFmtId="165" fontId="0" fillId="4" borderId="3" xfId="3" applyNumberFormat="1" applyFont="1" applyFill="1" applyBorder="1"/>
    <xf numFmtId="165" fontId="0" fillId="0" borderId="5" xfId="3" applyNumberFormat="1" applyFont="1" applyBorder="1" applyAlignment="1">
      <alignment horizontal="center"/>
    </xf>
    <xf numFmtId="43" fontId="0" fillId="0" borderId="0" xfId="3" applyFont="1" applyBorder="1"/>
    <xf numFmtId="43" fontId="0" fillId="0" borderId="0" xfId="3" applyFont="1" applyFill="1" applyBorder="1"/>
    <xf numFmtId="43" fontId="0" fillId="0" borderId="2" xfId="3" applyFont="1" applyFill="1" applyBorder="1"/>
    <xf numFmtId="43" fontId="0" fillId="0" borderId="4" xfId="3" applyFont="1" applyBorder="1"/>
    <xf numFmtId="0" fontId="5" fillId="0" borderId="0" xfId="4"/>
    <xf numFmtId="49" fontId="6" fillId="5" borderId="0" xfId="4" applyNumberFormat="1" applyFont="1" applyFill="1"/>
    <xf numFmtId="166" fontId="6" fillId="5" borderId="0" xfId="4" applyNumberFormat="1" applyFont="1" applyFill="1"/>
    <xf numFmtId="49" fontId="6" fillId="6" borderId="0" xfId="4" applyNumberFormat="1" applyFont="1" applyFill="1"/>
    <xf numFmtId="0" fontId="0" fillId="0" borderId="0" xfId="0" applyAlignment="1">
      <alignment wrapText="1"/>
    </xf>
    <xf numFmtId="0" fontId="4" fillId="0" borderId="0" xfId="0" applyFont="1" applyFill="1" applyAlignment="1">
      <alignment horizontal="center" vertical="center"/>
    </xf>
    <xf numFmtId="0" fontId="0" fillId="7" borderId="0" xfId="0" applyFill="1"/>
    <xf numFmtId="2" fontId="0" fillId="7" borderId="0" xfId="0" applyNumberFormat="1" applyFill="1"/>
    <xf numFmtId="165" fontId="0" fillId="0" borderId="0" xfId="3" applyNumberFormat="1" applyFont="1"/>
    <xf numFmtId="43" fontId="0" fillId="0" borderId="0" xfId="0" applyNumberFormat="1"/>
    <xf numFmtId="167" fontId="0" fillId="0" borderId="0" xfId="0" applyNumberFormat="1"/>
    <xf numFmtId="167" fontId="0" fillId="0" borderId="0" xfId="2" applyNumberFormat="1" applyFont="1"/>
    <xf numFmtId="164" fontId="0" fillId="8" borderId="0" xfId="1" applyNumberFormat="1" applyFont="1" applyFill="1" applyBorder="1"/>
    <xf numFmtId="0" fontId="0" fillId="8" borderId="1" xfId="0" applyFill="1" applyBorder="1" applyAlignment="1">
      <alignment horizontal="center"/>
    </xf>
    <xf numFmtId="164" fontId="0" fillId="8" borderId="2" xfId="1" applyNumberFormat="1" applyFont="1" applyFill="1" applyBorder="1"/>
    <xf numFmtId="164" fontId="0" fillId="8" borderId="1" xfId="1" applyNumberFormat="1" applyFont="1" applyFill="1" applyBorder="1"/>
    <xf numFmtId="0" fontId="0" fillId="0" borderId="0" xfId="3" applyNumberFormat="1" applyFont="1"/>
    <xf numFmtId="0" fontId="3" fillId="8" borderId="19" xfId="0" applyFont="1" applyFill="1" applyBorder="1"/>
    <xf numFmtId="0" fontId="3" fillId="8" borderId="26" xfId="0" applyFont="1" applyFill="1" applyBorder="1"/>
    <xf numFmtId="0" fontId="3" fillId="8" borderId="27" xfId="0" applyFont="1" applyFill="1" applyBorder="1"/>
    <xf numFmtId="164" fontId="0" fillId="8" borderId="12" xfId="1" applyNumberFormat="1" applyFont="1" applyFill="1" applyBorder="1"/>
    <xf numFmtId="164" fontId="0" fillId="8" borderId="13" xfId="1" applyNumberFormat="1" applyFont="1" applyFill="1" applyBorder="1"/>
    <xf numFmtId="164" fontId="0" fillId="8" borderId="14" xfId="1" applyNumberFormat="1" applyFont="1" applyFill="1" applyBorder="1"/>
    <xf numFmtId="0" fontId="0" fillId="0" borderId="19" xfId="0" applyBorder="1"/>
    <xf numFmtId="0" fontId="0" fillId="0" borderId="26" xfId="0" applyBorder="1"/>
    <xf numFmtId="0" fontId="0" fillId="0" borderId="27" xfId="0" applyBorder="1"/>
    <xf numFmtId="167" fontId="0" fillId="4" borderId="0" xfId="2" applyNumberFormat="1" applyFont="1" applyFill="1" applyBorder="1"/>
    <xf numFmtId="167" fontId="0" fillId="4" borderId="4" xfId="2" applyNumberFormat="1" applyFont="1" applyFill="1" applyBorder="1"/>
    <xf numFmtId="164" fontId="0" fillId="8" borderId="6" xfId="0" applyNumberFormat="1" applyFill="1" applyBorder="1"/>
    <xf numFmtId="164" fontId="0" fillId="8" borderId="7" xfId="0" applyNumberFormat="1" applyFill="1" applyBorder="1"/>
    <xf numFmtId="164" fontId="0" fillId="8" borderId="8" xfId="0" applyNumberFormat="1" applyFill="1" applyBorder="1"/>
    <xf numFmtId="0" fontId="4" fillId="9" borderId="28" xfId="0" applyFont="1" applyFill="1" applyBorder="1" applyAlignment="1">
      <alignment horizontal="center"/>
    </xf>
    <xf numFmtId="164" fontId="0" fillId="0" borderId="0" xfId="1" applyNumberFormat="1" applyFont="1" applyFill="1"/>
    <xf numFmtId="167" fontId="0" fillId="0" borderId="0" xfId="2" applyNumberFormat="1" applyFont="1" applyBorder="1"/>
    <xf numFmtId="167" fontId="0" fillId="0" borderId="28" xfId="2" applyNumberFormat="1" applyFont="1" applyBorder="1"/>
    <xf numFmtId="0" fontId="0" fillId="10" borderId="20" xfId="0" applyFill="1" applyBorder="1"/>
    <xf numFmtId="164" fontId="0" fillId="10" borderId="29" xfId="0" applyNumberFormat="1" applyFill="1" applyBorder="1"/>
    <xf numFmtId="164" fontId="0" fillId="10" borderId="29" xfId="1" applyNumberFormat="1" applyFont="1" applyFill="1" applyBorder="1"/>
    <xf numFmtId="9" fontId="0" fillId="0" borderId="2" xfId="2" applyFont="1" applyBorder="1"/>
    <xf numFmtId="0" fontId="2" fillId="11" borderId="1" xfId="0" applyFont="1" applyFill="1" applyBorder="1"/>
    <xf numFmtId="0" fontId="2" fillId="11" borderId="0" xfId="0" applyFont="1" applyFill="1" applyBorder="1"/>
    <xf numFmtId="0" fontId="2" fillId="11" borderId="2" xfId="0" applyFont="1" applyFill="1" applyBorder="1"/>
    <xf numFmtId="165" fontId="0" fillId="0" borderId="0" xfId="0" applyNumberFormat="1"/>
    <xf numFmtId="0" fontId="3" fillId="2" borderId="19" xfId="0" applyFont="1" applyFill="1" applyBorder="1"/>
    <xf numFmtId="0" fontId="3" fillId="2" borderId="26" xfId="0" applyFont="1" applyFill="1" applyBorder="1"/>
    <xf numFmtId="0" fontId="3" fillId="2" borderId="27" xfId="0" applyFont="1" applyFill="1" applyBorder="1"/>
    <xf numFmtId="0" fontId="0" fillId="0" borderId="0" xfId="0" applyAlignment="1">
      <alignment vertical="top"/>
    </xf>
    <xf numFmtId="9" fontId="0" fillId="0" borderId="0" xfId="2" applyFont="1" applyFill="1" applyBorder="1" applyAlignment="1">
      <alignment horizontal="center"/>
    </xf>
    <xf numFmtId="9" fontId="0" fillId="0" borderId="5" xfId="2" applyFont="1" applyFill="1" applyBorder="1" applyAlignment="1">
      <alignment horizontal="center"/>
    </xf>
    <xf numFmtId="164" fontId="0" fillId="0" borderId="0" xfId="1" applyNumberFormat="1" applyFont="1" applyFill="1" applyBorder="1"/>
    <xf numFmtId="164" fontId="0" fillId="0" borderId="2" xfId="1" applyNumberFormat="1" applyFont="1" applyFill="1" applyBorder="1"/>
    <xf numFmtId="164" fontId="0" fillId="0" borderId="1" xfId="1" applyNumberFormat="1" applyFont="1" applyFill="1" applyBorder="1"/>
    <xf numFmtId="164" fontId="0" fillId="0" borderId="12" xfId="1" applyNumberFormat="1" applyFont="1" applyFill="1" applyBorder="1"/>
    <xf numFmtId="164" fontId="0" fillId="0" borderId="13" xfId="1" applyNumberFormat="1" applyFont="1" applyFill="1" applyBorder="1"/>
    <xf numFmtId="164" fontId="0" fillId="0" borderId="3" xfId="1" applyNumberFormat="1" applyFont="1" applyFill="1" applyBorder="1"/>
    <xf numFmtId="164" fontId="0" fillId="0" borderId="4" xfId="1" applyNumberFormat="1" applyFont="1" applyFill="1" applyBorder="1"/>
    <xf numFmtId="164" fontId="0" fillId="0" borderId="5" xfId="1" applyNumberFormat="1" applyFont="1" applyFill="1" applyBorder="1"/>
    <xf numFmtId="164" fontId="0" fillId="0" borderId="0" xfId="0" applyNumberFormat="1" applyFill="1" applyBorder="1" applyAlignment="1">
      <alignment horizontal="center"/>
    </xf>
    <xf numFmtId="164" fontId="0" fillId="0" borderId="28" xfId="0" applyNumberFormat="1" applyBorder="1"/>
    <xf numFmtId="9" fontId="0" fillId="0" borderId="4" xfId="2" applyFont="1" applyFill="1" applyBorder="1"/>
    <xf numFmtId="167" fontId="0" fillId="0" borderId="0" xfId="2" applyNumberFormat="1" applyFont="1" applyFill="1" applyBorder="1" applyAlignment="1">
      <alignment horizontal="center"/>
    </xf>
    <xf numFmtId="164" fontId="10" fillId="13" borderId="0" xfId="1" applyNumberFormat="1" applyFont="1" applyFill="1"/>
    <xf numFmtId="0" fontId="0" fillId="0" borderId="0" xfId="3" applyNumberFormat="1" applyFont="1" applyFill="1"/>
    <xf numFmtId="0" fontId="0" fillId="0" borderId="0" xfId="0" applyFill="1" applyBorder="1"/>
    <xf numFmtId="0" fontId="2" fillId="0" borderId="0" xfId="3" applyNumberFormat="1" applyFont="1" applyAlignment="1">
      <alignment vertical="top"/>
    </xf>
    <xf numFmtId="0" fontId="7" fillId="0" borderId="0" xfId="0" applyFont="1" applyAlignment="1">
      <alignment horizontal="left" vertical="center"/>
    </xf>
    <xf numFmtId="9" fontId="0" fillId="14" borderId="0" xfId="2" applyFont="1" applyFill="1" applyBorder="1"/>
    <xf numFmtId="9" fontId="0" fillId="14" borderId="4" xfId="2" applyFont="1" applyFill="1" applyBorder="1"/>
    <xf numFmtId="9" fontId="0" fillId="14" borderId="2" xfId="2" applyFont="1" applyFill="1" applyBorder="1"/>
    <xf numFmtId="0" fontId="2" fillId="0" borderId="0" xfId="3" applyNumberFormat="1" applyFont="1" applyFill="1" applyAlignment="1">
      <alignment vertical="top"/>
    </xf>
    <xf numFmtId="0" fontId="0" fillId="0" borderId="0" xfId="0" applyAlignment="1">
      <alignment horizontal="right"/>
    </xf>
    <xf numFmtId="0" fontId="0" fillId="10" borderId="20" xfId="0" applyFill="1" applyBorder="1" applyAlignment="1">
      <alignment horizontal="right"/>
    </xf>
    <xf numFmtId="0" fontId="0" fillId="0" borderId="0" xfId="0" applyAlignment="1">
      <alignment horizontal="center" wrapText="1"/>
    </xf>
    <xf numFmtId="0" fontId="0" fillId="0" borderId="0" xfId="0" applyFill="1" applyAlignment="1">
      <alignment horizontal="center" vertical="center" wrapText="1"/>
    </xf>
    <xf numFmtId="167" fontId="0" fillId="14" borderId="0" xfId="2" applyNumberFormat="1" applyFont="1" applyFill="1" applyBorder="1"/>
    <xf numFmtId="167" fontId="0" fillId="14" borderId="4" xfId="2" applyNumberFormat="1" applyFont="1" applyFill="1" applyBorder="1"/>
    <xf numFmtId="167" fontId="0" fillId="14" borderId="2" xfId="2" applyNumberFormat="1" applyFont="1" applyFill="1" applyBorder="1"/>
    <xf numFmtId="0" fontId="0" fillId="0" borderId="0" xfId="0" applyFill="1" applyBorder="1" applyAlignment="1">
      <alignment horizontal="center" vertical="center" wrapText="1"/>
    </xf>
    <xf numFmtId="0" fontId="12" fillId="3" borderId="0" xfId="0" applyFont="1" applyFill="1"/>
    <xf numFmtId="0" fontId="2" fillId="3" borderId="0" xfId="0" applyFont="1" applyFill="1"/>
    <xf numFmtId="0" fontId="2" fillId="0" borderId="0" xfId="2" applyNumberFormat="1" applyFont="1" applyAlignment="1">
      <alignment horizontal="left"/>
    </xf>
    <xf numFmtId="164" fontId="5" fillId="0" borderId="2" xfId="1" applyNumberFormat="1" applyFont="1" applyFill="1" applyBorder="1" applyAlignment="1">
      <alignment horizontal="center"/>
    </xf>
    <xf numFmtId="164" fontId="5" fillId="0" borderId="14" xfId="1" applyNumberFormat="1" applyFont="1" applyFill="1" applyBorder="1" applyAlignment="1">
      <alignment horizontal="center"/>
    </xf>
    <xf numFmtId="164" fontId="5" fillId="0" borderId="1" xfId="1" applyNumberFormat="1" applyFont="1" applyFill="1" applyBorder="1" applyAlignment="1">
      <alignment horizontal="center"/>
    </xf>
    <xf numFmtId="164" fontId="0" fillId="0" borderId="14" xfId="1" applyNumberFormat="1" applyFont="1" applyFill="1" applyBorder="1"/>
    <xf numFmtId="0" fontId="0" fillId="0" borderId="0" xfId="0" applyBorder="1" applyAlignment="1">
      <alignment horizontal="center" wrapText="1"/>
    </xf>
    <xf numFmtId="9" fontId="0" fillId="0" borderId="0" xfId="0" applyNumberFormat="1" applyAlignment="1">
      <alignment horizontal="left"/>
    </xf>
    <xf numFmtId="10" fontId="0" fillId="15" borderId="10" xfId="2" applyNumberFormat="1" applyFont="1" applyFill="1" applyBorder="1" applyAlignment="1">
      <alignment vertical="center"/>
    </xf>
    <xf numFmtId="10" fontId="0" fillId="15" borderId="11" xfId="2" applyNumberFormat="1" applyFont="1" applyFill="1" applyBorder="1" applyAlignment="1">
      <alignment vertical="center"/>
    </xf>
    <xf numFmtId="0" fontId="13" fillId="15" borderId="9" xfId="0" applyFont="1" applyFill="1" applyBorder="1" applyAlignment="1">
      <alignment wrapText="1"/>
    </xf>
    <xf numFmtId="0" fontId="13" fillId="0" borderId="0" xfId="0" applyFont="1" applyAlignment="1">
      <alignment wrapText="1"/>
    </xf>
    <xf numFmtId="0" fontId="13" fillId="0" borderId="9" xfId="0" applyFont="1" applyBorder="1" applyAlignment="1">
      <alignment wrapText="1"/>
    </xf>
    <xf numFmtId="165" fontId="0" fillId="0" borderId="10" xfId="3" applyNumberFormat="1" applyFont="1" applyBorder="1" applyAlignment="1">
      <alignment vertical="center"/>
    </xf>
    <xf numFmtId="164" fontId="0" fillId="0" borderId="10" xfId="0" applyNumberFormat="1" applyBorder="1" applyAlignment="1">
      <alignment vertical="center"/>
    </xf>
    <xf numFmtId="164" fontId="0" fillId="0" borderId="11" xfId="0" applyNumberFormat="1" applyBorder="1" applyAlignment="1">
      <alignment vertical="center"/>
    </xf>
    <xf numFmtId="164" fontId="0" fillId="0" borderId="0" xfId="0" applyNumberFormat="1" applyBorder="1" applyAlignment="1">
      <alignment vertical="center"/>
    </xf>
    <xf numFmtId="164" fontId="0" fillId="0" borderId="0" xfId="1" applyNumberFormat="1" applyFont="1" applyAlignment="1">
      <alignment vertical="center"/>
    </xf>
    <xf numFmtId="0" fontId="11" fillId="14" borderId="28" xfId="0" applyFont="1" applyFill="1" applyBorder="1" applyAlignment="1">
      <alignment horizontal="center" vertical="center"/>
    </xf>
    <xf numFmtId="0" fontId="13" fillId="0" borderId="0" xfId="0" applyFont="1"/>
    <xf numFmtId="0" fontId="0" fillId="0" borderId="0" xfId="0" applyAlignment="1">
      <alignment horizontal="right" wrapText="1"/>
    </xf>
    <xf numFmtId="9" fontId="0" fillId="0" borderId="2" xfId="2" applyFont="1" applyFill="1" applyBorder="1" applyAlignment="1">
      <alignment horizontal="right"/>
    </xf>
    <xf numFmtId="164" fontId="0" fillId="0" borderId="6" xfId="1" applyNumberFormat="1" applyFont="1" applyBorder="1"/>
    <xf numFmtId="164" fontId="0" fillId="0" borderId="7" xfId="1" applyNumberFormat="1" applyFont="1" applyBorder="1"/>
    <xf numFmtId="0" fontId="7" fillId="0" borderId="0" xfId="0" applyFont="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3" borderId="0" xfId="0" applyFill="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7" fillId="0" borderId="0" xfId="0" applyFont="1" applyAlignment="1">
      <alignment horizontal="left" vertical="center"/>
    </xf>
    <xf numFmtId="0" fontId="0" fillId="0" borderId="0" xfId="0" applyFill="1" applyAlignment="1">
      <alignment horizontal="center"/>
    </xf>
    <xf numFmtId="0" fontId="2" fillId="3" borderId="0" xfId="0" applyFont="1" applyFill="1" applyAlignment="1">
      <alignment horizontal="center"/>
    </xf>
    <xf numFmtId="0" fontId="0" fillId="12" borderId="3" xfId="0" applyFill="1" applyBorder="1" applyAlignment="1">
      <alignment horizontal="center"/>
    </xf>
    <xf numFmtId="0" fontId="0" fillId="12" borderId="4" xfId="0" applyFill="1" applyBorder="1" applyAlignment="1">
      <alignment horizontal="center"/>
    </xf>
    <xf numFmtId="0" fontId="0" fillId="12" borderId="5" xfId="0" applyFill="1" applyBorder="1" applyAlignment="1">
      <alignment horizontal="center"/>
    </xf>
    <xf numFmtId="0" fontId="0" fillId="3" borderId="26" xfId="0" applyFill="1" applyBorder="1" applyAlignment="1">
      <alignment horizontal="center"/>
    </xf>
    <xf numFmtId="0" fontId="0" fillId="0" borderId="0" xfId="0" applyAlignment="1">
      <alignment vertical="center"/>
    </xf>
    <xf numFmtId="164" fontId="0" fillId="14" borderId="0" xfId="1" applyNumberFormat="1" applyFont="1" applyFill="1" applyAlignment="1">
      <alignment vertical="center"/>
    </xf>
  </cellXfs>
  <cellStyles count="5">
    <cellStyle name="Comma" xfId="3" builtinId="3"/>
    <cellStyle name="Currency" xfId="1" builtinId="4"/>
    <cellStyle name="Normal" xfId="0" builtinId="0"/>
    <cellStyle name="Normal 2" xfId="4"/>
    <cellStyle name="Percent" xfId="2" builtinId="5"/>
  </cellStyles>
  <dxfs count="18">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
      <font>
        <color theme="0"/>
      </font>
      <fill>
        <patternFill>
          <bgColor theme="4"/>
        </patternFill>
      </fill>
    </dxf>
    <dxf>
      <font>
        <color theme="0"/>
      </font>
      <fill>
        <patternFill>
          <bgColor theme="7"/>
        </patternFill>
      </fill>
    </dxf>
  </dxfs>
  <tableStyles count="0" defaultTableStyle="TableStyleMedium2" defaultPivotStyle="PivotStyleLight16"/>
  <colors>
    <mruColors>
      <color rgb="FFE4EDCC"/>
      <color rgb="FFADC8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lineChart>
        <c:grouping val="standard"/>
        <c:varyColors val="0"/>
        <c:ser>
          <c:idx val="0"/>
          <c:order val="0"/>
          <c:spPr>
            <a:ln w="28575" cap="rnd">
              <a:solidFill>
                <a:schemeClr val="accent1"/>
              </a:solidFill>
              <a:round/>
            </a:ln>
            <a:effectLst/>
          </c:spPr>
          <c:marker>
            <c:symbol val="none"/>
          </c:marker>
          <c:val>
            <c:numRef>
              <c:f>'A1.2(2) - Beregninger'!$D$4:$O$4</c:f>
              <c:numCache>
                <c:formatCode>_-"kr"\ * #\ ##0_-;\-"kr"\ * #\ ##0_-;_-"kr"\ * "-"??_-;_-@_-</c:formatCode>
                <c:ptCount val="12"/>
                <c:pt idx="0">
                  <c:v>75000000</c:v>
                </c:pt>
                <c:pt idx="1">
                  <c:v>76875000</c:v>
                </c:pt>
                <c:pt idx="2">
                  <c:v>78796875</c:v>
                </c:pt>
                <c:pt idx="3">
                  <c:v>80766796.874999985</c:v>
                </c:pt>
                <c:pt idx="4">
                  <c:v>82785966.796874985</c:v>
                </c:pt>
                <c:pt idx="5">
                  <c:v>84855615.966796845</c:v>
                </c:pt>
                <c:pt idx="6">
                  <c:v>86977006.365966767</c:v>
                </c:pt>
                <c:pt idx="7">
                  <c:v>89151431.525115922</c:v>
                </c:pt>
                <c:pt idx="8">
                  <c:v>91380217.313243806</c:v>
                </c:pt>
                <c:pt idx="9">
                  <c:v>93664722.746074885</c:v>
                </c:pt>
                <c:pt idx="10">
                  <c:v>96006340.814726755</c:v>
                </c:pt>
                <c:pt idx="11">
                  <c:v>98406499.335094914</c:v>
                </c:pt>
              </c:numCache>
            </c:numRef>
          </c:val>
          <c:smooth val="0"/>
          <c:extLst>
            <c:ext xmlns:c16="http://schemas.microsoft.com/office/drawing/2014/chart" uri="{C3380CC4-5D6E-409C-BE32-E72D297353CC}">
              <c16:uniqueId val="{00000000-CC63-4F1F-AD11-36EF16B3CEA0}"/>
            </c:ext>
          </c:extLst>
        </c:ser>
        <c:ser>
          <c:idx val="1"/>
          <c:order val="1"/>
          <c:spPr>
            <a:ln w="28575" cap="rnd">
              <a:solidFill>
                <a:schemeClr val="accent2"/>
              </a:solidFill>
              <a:round/>
            </a:ln>
            <a:effectLst/>
          </c:spPr>
          <c:marker>
            <c:symbol val="none"/>
          </c:marker>
          <c:val>
            <c:numRef>
              <c:f>'A1.2(2) - Beregninger'!$D$41:$O$41</c:f>
              <c:numCache>
                <c:formatCode>_-"kr"\ * #\ ##0_-;\-"kr"\ * #\ ##0_-;_-"kr"\ * "-"??_-;_-@_-</c:formatCode>
                <c:ptCount val="12"/>
                <c:pt idx="0">
                  <c:v>8750000</c:v>
                </c:pt>
                <c:pt idx="1">
                  <c:v>19987500</c:v>
                </c:pt>
                <c:pt idx="2">
                  <c:v>20487187.5</c:v>
                </c:pt>
                <c:pt idx="3">
                  <c:v>16153359.375</c:v>
                </c:pt>
                <c:pt idx="4">
                  <c:v>24835790.039062496</c:v>
                </c:pt>
                <c:pt idx="5">
                  <c:v>42427807.98339843</c:v>
                </c:pt>
                <c:pt idx="6">
                  <c:v>43488503.182983391</c:v>
                </c:pt>
                <c:pt idx="7">
                  <c:v>53490858.915069558</c:v>
                </c:pt>
                <c:pt idx="8">
                  <c:v>73104173.850595057</c:v>
                </c:pt>
                <c:pt idx="9">
                  <c:v>84298250.471467406</c:v>
                </c:pt>
                <c:pt idx="10">
                  <c:v>86405706.733254075</c:v>
                </c:pt>
                <c:pt idx="11">
                  <c:v>49203249.667547457</c:v>
                </c:pt>
              </c:numCache>
            </c:numRef>
          </c:val>
          <c:smooth val="0"/>
          <c:extLst>
            <c:ext xmlns:c16="http://schemas.microsoft.com/office/drawing/2014/chart" uri="{C3380CC4-5D6E-409C-BE32-E72D297353CC}">
              <c16:uniqueId val="{00000001-CC63-4F1F-AD11-36EF16B3CEA0}"/>
            </c:ext>
          </c:extLst>
        </c:ser>
        <c:dLbls>
          <c:showLegendKey val="0"/>
          <c:showVal val="0"/>
          <c:showCatName val="0"/>
          <c:showSerName val="0"/>
          <c:showPercent val="0"/>
          <c:showBubbleSize val="0"/>
        </c:dLbls>
        <c:smooth val="0"/>
        <c:axId val="404249312"/>
        <c:axId val="404244216"/>
      </c:lineChart>
      <c:catAx>
        <c:axId val="4042493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04244216"/>
        <c:crosses val="autoZero"/>
        <c:auto val="1"/>
        <c:lblAlgn val="ctr"/>
        <c:lblOffset val="100"/>
        <c:noMultiLvlLbl val="0"/>
      </c:catAx>
      <c:valAx>
        <c:axId val="404244216"/>
        <c:scaling>
          <c:orientation val="minMax"/>
        </c:scaling>
        <c:delete val="0"/>
        <c:axPos val="l"/>
        <c:majorGridlines>
          <c:spPr>
            <a:ln w="9525" cap="flat" cmpd="sng" algn="ctr">
              <a:solidFill>
                <a:schemeClr val="tx1">
                  <a:lumMod val="15000"/>
                  <a:lumOff val="85000"/>
                </a:schemeClr>
              </a:solidFill>
              <a:round/>
            </a:ln>
            <a:effectLst/>
          </c:spPr>
        </c:majorGridlines>
        <c:numFmt formatCode="_-&quot;kr&quot;\ * #\ ##0_-;\-&quot;kr&quot;\ * #\ ##0_-;_-&quot;kr&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0424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Regularitet ruteområde Lillestrøm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Regularitet!$B$1:$D$1</c:f>
              <c:strCache>
                <c:ptCount val="3"/>
                <c:pt idx="0">
                  <c:v>2015</c:v>
                </c:pt>
                <c:pt idx="1">
                  <c:v>2016</c:v>
                </c:pt>
                <c:pt idx="2">
                  <c:v>2017*</c:v>
                </c:pt>
              </c:strCache>
            </c:strRef>
          </c:cat>
          <c:val>
            <c:numRef>
              <c:f>Regularitet!$B$4:$D$4</c:f>
              <c:numCache>
                <c:formatCode>0%</c:formatCode>
                <c:ptCount val="3"/>
                <c:pt idx="0">
                  <c:v>0.93587812620366317</c:v>
                </c:pt>
                <c:pt idx="1">
                  <c:v>0.93543065208912235</c:v>
                </c:pt>
                <c:pt idx="2">
                  <c:v>0.92051069955311104</c:v>
                </c:pt>
              </c:numCache>
            </c:numRef>
          </c:val>
          <c:smooth val="0"/>
          <c:extLst>
            <c:ext xmlns:c16="http://schemas.microsoft.com/office/drawing/2014/chart" uri="{C3380CC4-5D6E-409C-BE32-E72D297353CC}">
              <c16:uniqueId val="{00000000-8977-4756-A6D4-3EDBEE5ACEEC}"/>
            </c:ext>
          </c:extLst>
        </c:ser>
        <c:dLbls>
          <c:showLegendKey val="0"/>
          <c:showVal val="0"/>
          <c:showCatName val="0"/>
          <c:showSerName val="0"/>
          <c:showPercent val="0"/>
          <c:showBubbleSize val="0"/>
        </c:dLbls>
        <c:marker val="1"/>
        <c:smooth val="0"/>
        <c:axId val="402945960"/>
        <c:axId val="402944784"/>
      </c:lineChart>
      <c:catAx>
        <c:axId val="402945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02944784"/>
        <c:crosses val="autoZero"/>
        <c:auto val="1"/>
        <c:lblAlgn val="ctr"/>
        <c:lblOffset val="100"/>
        <c:noMultiLvlLbl val="0"/>
      </c:catAx>
      <c:valAx>
        <c:axId val="402944784"/>
        <c:scaling>
          <c:orientation val="minMax"/>
          <c:max val="1"/>
          <c:min val="0.9"/>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02945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Alt i alt fornøyd 2013 - 2017 (pr. andre</a:t>
            </a:r>
            <a:r>
              <a:rPr lang="nb-NO" baseline="0"/>
              <a:t> kvartal)</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'Alt-i-alt'!$A$2:$A$6</c:f>
              <c:strCache>
                <c:ptCount val="5"/>
                <c:pt idx="0">
                  <c:v>2013</c:v>
                </c:pt>
                <c:pt idx="1">
                  <c:v>2014</c:v>
                </c:pt>
                <c:pt idx="2">
                  <c:v>2015</c:v>
                </c:pt>
                <c:pt idx="3">
                  <c:v>2016</c:v>
                </c:pt>
                <c:pt idx="4">
                  <c:v>2017*</c:v>
                </c:pt>
              </c:strCache>
            </c:strRef>
          </c:cat>
          <c:val>
            <c:numRef>
              <c:f>'Alt-i-alt'!$C$2:$C$6</c:f>
              <c:numCache>
                <c:formatCode>#\ ##0%</c:formatCode>
                <c:ptCount val="5"/>
                <c:pt idx="0">
                  <c:v>0.96458943937538388</c:v>
                </c:pt>
                <c:pt idx="1">
                  <c:v>0.96900594357287051</c:v>
                </c:pt>
                <c:pt idx="2">
                  <c:v>0.98081705204422565</c:v>
                </c:pt>
                <c:pt idx="3">
                  <c:v>0.98136538716563237</c:v>
                </c:pt>
                <c:pt idx="4">
                  <c:v>0.98679995607159809</c:v>
                </c:pt>
              </c:numCache>
            </c:numRef>
          </c:val>
          <c:smooth val="0"/>
          <c:extLst>
            <c:ext xmlns:c16="http://schemas.microsoft.com/office/drawing/2014/chart" uri="{C3380CC4-5D6E-409C-BE32-E72D297353CC}">
              <c16:uniqueId val="{00000000-9435-4A0A-9192-78C24470F270}"/>
            </c:ext>
          </c:extLst>
        </c:ser>
        <c:dLbls>
          <c:showLegendKey val="0"/>
          <c:showVal val="0"/>
          <c:showCatName val="0"/>
          <c:showSerName val="0"/>
          <c:showPercent val="0"/>
          <c:showBubbleSize val="0"/>
        </c:dLbls>
        <c:marker val="1"/>
        <c:smooth val="0"/>
        <c:axId val="413907896"/>
        <c:axId val="413903976"/>
      </c:lineChart>
      <c:catAx>
        <c:axId val="41390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3976"/>
        <c:crosses val="autoZero"/>
        <c:auto val="1"/>
        <c:lblAlgn val="ctr"/>
        <c:lblOffset val="100"/>
        <c:noMultiLvlLbl val="0"/>
      </c:catAx>
      <c:valAx>
        <c:axId val="413903976"/>
        <c:scaling>
          <c:orientation val="minMax"/>
          <c:max val="1"/>
          <c:min val="0.9"/>
        </c:scaling>
        <c:delete val="0"/>
        <c:axPos val="l"/>
        <c:majorGridlines>
          <c:spPr>
            <a:ln w="9525" cap="flat" cmpd="sng" algn="ctr">
              <a:solidFill>
                <a:schemeClr val="tx1">
                  <a:lumMod val="15000"/>
                  <a:lumOff val="85000"/>
                </a:schemeClr>
              </a:solidFill>
              <a:round/>
            </a:ln>
            <a:effectLst/>
          </c:spPr>
        </c:majorGridlines>
        <c:numFmt formatCode="#\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7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Utvikling i årlig bonus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areaChart>
        <c:grouping val="stacked"/>
        <c:varyColors val="0"/>
        <c:ser>
          <c:idx val="0"/>
          <c:order val="0"/>
          <c:tx>
            <c:strRef>
              <c:f>Grafer!$A$2</c:f>
              <c:strCache>
                <c:ptCount val="1"/>
                <c:pt idx="0">
                  <c:v>Grunnbonus</c:v>
                </c:pt>
              </c:strCache>
            </c:strRef>
          </c:tx>
          <c:spPr>
            <a:solidFill>
              <a:schemeClr val="accent1"/>
            </a:solidFill>
            <a:ln>
              <a:noFill/>
            </a:ln>
            <a:effectLst/>
          </c:spPr>
          <c:cat>
            <c:numRef>
              <c:f>Grafer!$B$1:$L$1</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Grafer!$B$2:$L$2</c:f>
              <c:numCache>
                <c:formatCode>_-"kr"\ * #\ ##0_-;\-"kr"\ * #\ ##0_-;_-"kr"\ * "-"??_-;_-@_-</c:formatCode>
                <c:ptCount val="11"/>
                <c:pt idx="0">
                  <c:v>12000000</c:v>
                </c:pt>
                <c:pt idx="1">
                  <c:v>12299999.999999998</c:v>
                </c:pt>
                <c:pt idx="2">
                  <c:v>12607499.999999998</c:v>
                </c:pt>
                <c:pt idx="3">
                  <c:v>12922687.499999998</c:v>
                </c:pt>
                <c:pt idx="4">
                  <c:v>13245754.687499996</c:v>
                </c:pt>
                <c:pt idx="5">
                  <c:v>13576898.554687496</c:v>
                </c:pt>
                <c:pt idx="6">
                  <c:v>13916321.018554682</c:v>
                </c:pt>
                <c:pt idx="7">
                  <c:v>14264229.044018548</c:v>
                </c:pt>
                <c:pt idx="8">
                  <c:v>14620834.77011901</c:v>
                </c:pt>
                <c:pt idx="9">
                  <c:v>14986355.639371982</c:v>
                </c:pt>
                <c:pt idx="10">
                  <c:v>15361014.530356281</c:v>
                </c:pt>
              </c:numCache>
            </c:numRef>
          </c:val>
          <c:extLst>
            <c:ext xmlns:c16="http://schemas.microsoft.com/office/drawing/2014/chart" uri="{C3380CC4-5D6E-409C-BE32-E72D297353CC}">
              <c16:uniqueId val="{00000000-15B7-4B61-8DF0-1409727D7A24}"/>
            </c:ext>
          </c:extLst>
        </c:ser>
        <c:ser>
          <c:idx val="1"/>
          <c:order val="1"/>
          <c:tx>
            <c:strRef>
              <c:f>Grafer!$A$3</c:f>
              <c:strCache>
                <c:ptCount val="1"/>
                <c:pt idx="0">
                  <c:v>Tidliginnfasingsbonus</c:v>
                </c:pt>
              </c:strCache>
            </c:strRef>
          </c:tx>
          <c:spPr>
            <a:solidFill>
              <a:schemeClr val="accent2"/>
            </a:solidFill>
            <a:ln>
              <a:noFill/>
            </a:ln>
            <a:effectLst/>
          </c:spPr>
          <c:cat>
            <c:numRef>
              <c:f>Grafer!$B$1:$L$1</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Grafer!$B$3:$L$3</c:f>
              <c:numCache>
                <c:formatCode>_-"kr"\ * #\ ##0_-;\-"kr"\ * #\ ##0_-;_-"kr"\ * "-"??_-;_-@_-</c:formatCode>
                <c:ptCount val="11"/>
                <c:pt idx="0">
                  <c:v>12000000</c:v>
                </c:pt>
                <c:pt idx="1">
                  <c:v>12299999.999999998</c:v>
                </c:pt>
                <c:pt idx="2">
                  <c:v>12607499.999999998</c:v>
                </c:pt>
                <c:pt idx="3">
                  <c:v>12922687.499999998</c:v>
                </c:pt>
              </c:numCache>
            </c:numRef>
          </c:val>
          <c:extLst>
            <c:ext xmlns:c16="http://schemas.microsoft.com/office/drawing/2014/chart" uri="{C3380CC4-5D6E-409C-BE32-E72D297353CC}">
              <c16:uniqueId val="{00000001-15B7-4B61-8DF0-1409727D7A24}"/>
            </c:ext>
          </c:extLst>
        </c:ser>
        <c:dLbls>
          <c:showLegendKey val="0"/>
          <c:showVal val="0"/>
          <c:showCatName val="0"/>
          <c:showSerName val="0"/>
          <c:showPercent val="0"/>
          <c:showBubbleSize val="0"/>
        </c:dLbls>
        <c:axId val="413908288"/>
        <c:axId val="413901232"/>
      </c:areaChart>
      <c:catAx>
        <c:axId val="413908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1232"/>
        <c:crosses val="autoZero"/>
        <c:auto val="1"/>
        <c:lblAlgn val="ctr"/>
        <c:lblOffset val="100"/>
        <c:noMultiLvlLbl val="0"/>
      </c:catAx>
      <c:valAx>
        <c:axId val="413901232"/>
        <c:scaling>
          <c:orientation val="minMax"/>
        </c:scaling>
        <c:delete val="0"/>
        <c:axPos val="l"/>
        <c:majorGridlines>
          <c:spPr>
            <a:ln w="9525" cap="flat" cmpd="sng" algn="ctr">
              <a:solidFill>
                <a:schemeClr val="tx1">
                  <a:lumMod val="15000"/>
                  <a:lumOff val="85000"/>
                </a:schemeClr>
              </a:solidFill>
              <a:round/>
            </a:ln>
            <a:effectLst/>
          </c:spPr>
        </c:majorGridlines>
        <c:numFmt formatCode="_-&quot;kr&quot;\ * #\ ##0_-;\-&quot;kr&quot;\ * #\ ##0_-;_-&quot;kr&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8288"/>
        <c:crosses val="autoZero"/>
        <c:crossBetween val="midCat"/>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Sammensetning</a:t>
            </a:r>
            <a:r>
              <a:rPr lang="nb-NO" baseline="0"/>
              <a:t> av tilgjengelig bonus</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areaChart>
        <c:grouping val="stacked"/>
        <c:varyColors val="0"/>
        <c:ser>
          <c:idx val="0"/>
          <c:order val="0"/>
          <c:tx>
            <c:strRef>
              <c:f>Grafer!$A$36</c:f>
              <c:strCache>
                <c:ptCount val="1"/>
                <c:pt idx="0">
                  <c:v>Variabel del av grunnbonus</c:v>
                </c:pt>
              </c:strCache>
            </c:strRef>
          </c:tx>
          <c:spPr>
            <a:solidFill>
              <a:schemeClr val="accent1"/>
            </a:solidFill>
            <a:ln>
              <a:noFill/>
            </a:ln>
            <a:effectLst/>
          </c:spPr>
          <c:cat>
            <c:numRef>
              <c:f>Grafer!$B$35:$L$35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Grafer!$B$36:$L$36</c:f>
              <c:numCache>
                <c:formatCode>_-"kr"\ * #\ ##0_-;\-"kr"\ * #\ ##0_-;_-"kr"\ * "-"??_-;_-@_-</c:formatCode>
                <c:ptCount val="11"/>
                <c:pt idx="0">
                  <c:v>20000000</c:v>
                </c:pt>
                <c:pt idx="1">
                  <c:v>20500000</c:v>
                </c:pt>
                <c:pt idx="2">
                  <c:v>21012499.999999996</c:v>
                </c:pt>
                <c:pt idx="3">
                  <c:v>21537812.499999993</c:v>
                </c:pt>
                <c:pt idx="4">
                  <c:v>22076257.812499989</c:v>
                </c:pt>
                <c:pt idx="5">
                  <c:v>22628164.257812485</c:v>
                </c:pt>
                <c:pt idx="6">
                  <c:v>23193868.364257798</c:v>
                </c:pt>
                <c:pt idx="7">
                  <c:v>23773715.073364239</c:v>
                </c:pt>
                <c:pt idx="8">
                  <c:v>24368057.950198341</c:v>
                </c:pt>
                <c:pt idx="9">
                  <c:v>24977259.3989533</c:v>
                </c:pt>
                <c:pt idx="10">
                  <c:v>25601690.883927129</c:v>
                </c:pt>
              </c:numCache>
            </c:numRef>
          </c:val>
          <c:extLst>
            <c:ext xmlns:c16="http://schemas.microsoft.com/office/drawing/2014/chart" uri="{C3380CC4-5D6E-409C-BE32-E72D297353CC}">
              <c16:uniqueId val="{00000000-6BE0-4594-9B23-E6FB28DBBF49}"/>
            </c:ext>
          </c:extLst>
        </c:ser>
        <c:ser>
          <c:idx val="1"/>
          <c:order val="1"/>
          <c:tx>
            <c:strRef>
              <c:f>Grafer!$A$37</c:f>
              <c:strCache>
                <c:ptCount val="1"/>
                <c:pt idx="0">
                  <c:v>Fast del av grunnbonus</c:v>
                </c:pt>
              </c:strCache>
            </c:strRef>
          </c:tx>
          <c:spPr>
            <a:solidFill>
              <a:schemeClr val="accent4"/>
            </a:solidFill>
            <a:ln>
              <a:noFill/>
            </a:ln>
            <a:effectLst/>
          </c:spPr>
          <c:cat>
            <c:numRef>
              <c:f>Grafer!$B$35:$L$35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Grafer!$B$37:$L$37</c:f>
              <c:numCache>
                <c:formatCode>_-"kr"\ * #\ ##0_-;\-"kr"\ * #\ ##0_-;_-"kr"\ * "-"??_-;_-@_-</c:formatCode>
                <c:ptCount val="11"/>
                <c:pt idx="0">
                  <c:v>12000000</c:v>
                </c:pt>
                <c:pt idx="1">
                  <c:v>12299999.999999998</c:v>
                </c:pt>
                <c:pt idx="2">
                  <c:v>12607499.999999998</c:v>
                </c:pt>
                <c:pt idx="3">
                  <c:v>12922687.499999998</c:v>
                </c:pt>
                <c:pt idx="4">
                  <c:v>13245754.687499996</c:v>
                </c:pt>
                <c:pt idx="5">
                  <c:v>13576898.554687496</c:v>
                </c:pt>
                <c:pt idx="6">
                  <c:v>13916321.018554682</c:v>
                </c:pt>
                <c:pt idx="7">
                  <c:v>14264229.044018548</c:v>
                </c:pt>
                <c:pt idx="8">
                  <c:v>14620834.77011901</c:v>
                </c:pt>
                <c:pt idx="9">
                  <c:v>14986355.639371982</c:v>
                </c:pt>
                <c:pt idx="10">
                  <c:v>15361014.530356281</c:v>
                </c:pt>
              </c:numCache>
            </c:numRef>
          </c:val>
          <c:extLst>
            <c:ext xmlns:c16="http://schemas.microsoft.com/office/drawing/2014/chart" uri="{C3380CC4-5D6E-409C-BE32-E72D297353CC}">
              <c16:uniqueId val="{00000001-6BE0-4594-9B23-E6FB28DBBF49}"/>
            </c:ext>
          </c:extLst>
        </c:ser>
        <c:ser>
          <c:idx val="2"/>
          <c:order val="2"/>
          <c:tx>
            <c:strRef>
              <c:f>Grafer!$A$38</c:f>
              <c:strCache>
                <c:ptCount val="1"/>
                <c:pt idx="0">
                  <c:v>Tidliginnfasingsbonus</c:v>
                </c:pt>
              </c:strCache>
            </c:strRef>
          </c:tx>
          <c:spPr>
            <a:solidFill>
              <a:schemeClr val="accent2"/>
            </a:solidFill>
            <a:ln>
              <a:noFill/>
            </a:ln>
            <a:effectLst/>
          </c:spPr>
          <c:cat>
            <c:numRef>
              <c:f>Grafer!$B$35:$L$35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Grafer!$B$38:$L$38</c:f>
              <c:numCache>
                <c:formatCode>_-"kr"\ * #\ ##0_-;\-"kr"\ * #\ ##0_-;_-"kr"\ * "-"??_-;_-@_-</c:formatCode>
                <c:ptCount val="11"/>
                <c:pt idx="0">
                  <c:v>12000000</c:v>
                </c:pt>
                <c:pt idx="1">
                  <c:v>12299999.999999998</c:v>
                </c:pt>
                <c:pt idx="2">
                  <c:v>12607499.999999998</c:v>
                </c:pt>
                <c:pt idx="3">
                  <c:v>12922687.499999998</c:v>
                </c:pt>
              </c:numCache>
            </c:numRef>
          </c:val>
          <c:extLst>
            <c:ext xmlns:c16="http://schemas.microsoft.com/office/drawing/2014/chart" uri="{C3380CC4-5D6E-409C-BE32-E72D297353CC}">
              <c16:uniqueId val="{00000002-6BE0-4594-9B23-E6FB28DBBF49}"/>
            </c:ext>
          </c:extLst>
        </c:ser>
        <c:dLbls>
          <c:showLegendKey val="0"/>
          <c:showVal val="0"/>
          <c:showCatName val="0"/>
          <c:showSerName val="0"/>
          <c:showPercent val="0"/>
          <c:showBubbleSize val="0"/>
        </c:dLbls>
        <c:axId val="413905152"/>
        <c:axId val="413904760"/>
      </c:areaChart>
      <c:catAx>
        <c:axId val="413905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4760"/>
        <c:crosses val="autoZero"/>
        <c:auto val="1"/>
        <c:lblAlgn val="ctr"/>
        <c:lblOffset val="100"/>
        <c:noMultiLvlLbl val="0"/>
      </c:catAx>
      <c:valAx>
        <c:axId val="413904760"/>
        <c:scaling>
          <c:orientation val="minMax"/>
        </c:scaling>
        <c:delete val="0"/>
        <c:axPos val="l"/>
        <c:majorGridlines>
          <c:spPr>
            <a:ln w="9525" cap="flat" cmpd="sng" algn="ctr">
              <a:solidFill>
                <a:schemeClr val="tx1">
                  <a:lumMod val="15000"/>
                  <a:lumOff val="85000"/>
                </a:schemeClr>
              </a:solidFill>
              <a:round/>
            </a:ln>
            <a:effectLst/>
          </c:spPr>
        </c:majorGridlines>
        <c:numFmt formatCode="_-&quot;kr&quot;\ * #\ ##0_-;\-&quot;kr&quot;\ * #\ ##0_-;_-&quot;kr&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51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Utvikling i årlig bonus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areaChart>
        <c:grouping val="stacked"/>
        <c:varyColors val="0"/>
        <c:ser>
          <c:idx val="0"/>
          <c:order val="0"/>
          <c:tx>
            <c:strRef>
              <c:f>'ulike utslag'!$A$2</c:f>
              <c:strCache>
                <c:ptCount val="1"/>
                <c:pt idx="0">
                  <c:v>Grunnbonus</c:v>
                </c:pt>
              </c:strCache>
            </c:strRef>
          </c:tx>
          <c:spPr>
            <a:solidFill>
              <a:schemeClr val="accent1"/>
            </a:solidFill>
            <a:ln>
              <a:noFill/>
            </a:ln>
            <a:effectLst/>
          </c:spPr>
          <c:cat>
            <c:numRef>
              <c:f>'ulike utslag'!$B$1:$L$1</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'ulike utslag'!$B$2:$L$2</c:f>
              <c:numCache>
                <c:formatCode>_-"kr"\ * #\ ##0_-;\-"kr"\ * #\ ##0_-;_-"kr"\ * "-"??_-;_-@_-</c:formatCode>
                <c:ptCount val="11"/>
                <c:pt idx="0">
                  <c:v>12000000</c:v>
                </c:pt>
                <c:pt idx="1">
                  <c:v>12299999.999999998</c:v>
                </c:pt>
                <c:pt idx="2">
                  <c:v>12607499.999999998</c:v>
                </c:pt>
                <c:pt idx="3">
                  <c:v>12922687.499999998</c:v>
                </c:pt>
                <c:pt idx="4">
                  <c:v>13245754.687499996</c:v>
                </c:pt>
                <c:pt idx="5">
                  <c:v>13576898.554687496</c:v>
                </c:pt>
                <c:pt idx="6">
                  <c:v>13916321.018554682</c:v>
                </c:pt>
                <c:pt idx="7">
                  <c:v>14264229.044018548</c:v>
                </c:pt>
                <c:pt idx="8">
                  <c:v>14620834.77011901</c:v>
                </c:pt>
                <c:pt idx="9">
                  <c:v>14986355.639371982</c:v>
                </c:pt>
                <c:pt idx="10">
                  <c:v>15361014.530356281</c:v>
                </c:pt>
              </c:numCache>
            </c:numRef>
          </c:val>
          <c:extLst>
            <c:ext xmlns:c16="http://schemas.microsoft.com/office/drawing/2014/chart" uri="{C3380CC4-5D6E-409C-BE32-E72D297353CC}">
              <c16:uniqueId val="{00000000-6B1A-45C9-93EB-340E73CF5A58}"/>
            </c:ext>
          </c:extLst>
        </c:ser>
        <c:ser>
          <c:idx val="1"/>
          <c:order val="1"/>
          <c:tx>
            <c:strRef>
              <c:f>'ulike utslag'!$A$3</c:f>
              <c:strCache>
                <c:ptCount val="1"/>
                <c:pt idx="0">
                  <c:v>Tidliginnfasingsbonus</c:v>
                </c:pt>
              </c:strCache>
            </c:strRef>
          </c:tx>
          <c:spPr>
            <a:solidFill>
              <a:schemeClr val="accent2"/>
            </a:solidFill>
            <a:ln>
              <a:noFill/>
            </a:ln>
            <a:effectLst/>
          </c:spPr>
          <c:cat>
            <c:numRef>
              <c:f>'ulike utslag'!$B$1:$L$1</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'ulike utslag'!$B$3:$L$3</c:f>
              <c:numCache>
                <c:formatCode>_-"kr"\ * #\ ##0_-;\-"kr"\ * #\ ##0_-;_-"kr"\ * "-"??_-;_-@_-</c:formatCode>
                <c:ptCount val="11"/>
                <c:pt idx="0">
                  <c:v>12000000</c:v>
                </c:pt>
                <c:pt idx="1">
                  <c:v>12299999.999999998</c:v>
                </c:pt>
                <c:pt idx="2">
                  <c:v>12607499.999999998</c:v>
                </c:pt>
                <c:pt idx="3">
                  <c:v>12922687.499999998</c:v>
                </c:pt>
              </c:numCache>
            </c:numRef>
          </c:val>
          <c:extLst>
            <c:ext xmlns:c16="http://schemas.microsoft.com/office/drawing/2014/chart" uri="{C3380CC4-5D6E-409C-BE32-E72D297353CC}">
              <c16:uniqueId val="{00000001-6B1A-45C9-93EB-340E73CF5A58}"/>
            </c:ext>
          </c:extLst>
        </c:ser>
        <c:dLbls>
          <c:showLegendKey val="0"/>
          <c:showVal val="0"/>
          <c:showCatName val="0"/>
          <c:showSerName val="0"/>
          <c:showPercent val="0"/>
          <c:showBubbleSize val="0"/>
        </c:dLbls>
        <c:axId val="413902800"/>
        <c:axId val="413902408"/>
      </c:areaChart>
      <c:catAx>
        <c:axId val="4139028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2408"/>
        <c:crosses val="autoZero"/>
        <c:auto val="1"/>
        <c:lblAlgn val="ctr"/>
        <c:lblOffset val="100"/>
        <c:noMultiLvlLbl val="0"/>
      </c:catAx>
      <c:valAx>
        <c:axId val="413902408"/>
        <c:scaling>
          <c:orientation val="minMax"/>
        </c:scaling>
        <c:delete val="0"/>
        <c:axPos val="l"/>
        <c:majorGridlines>
          <c:spPr>
            <a:ln w="9525" cap="flat" cmpd="sng" algn="ctr">
              <a:solidFill>
                <a:schemeClr val="tx1">
                  <a:lumMod val="15000"/>
                  <a:lumOff val="85000"/>
                </a:schemeClr>
              </a:solidFill>
              <a:round/>
            </a:ln>
            <a:effectLst/>
          </c:spPr>
        </c:majorGridlines>
        <c:numFmt formatCode="_-&quot;kr&quot;\ * #\ ##0_-;\-&quot;kr&quot;\ * #\ ##0_-;_-&quot;kr&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2800"/>
        <c:crosses val="autoZero"/>
        <c:crossBetween val="midCat"/>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Sammensetning</a:t>
            </a:r>
            <a:r>
              <a:rPr lang="nb-NO" baseline="0"/>
              <a:t> av tilgjengelig bonus</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areaChart>
        <c:grouping val="stacked"/>
        <c:varyColors val="0"/>
        <c:ser>
          <c:idx val="0"/>
          <c:order val="0"/>
          <c:tx>
            <c:strRef>
              <c:f>'ulike utslag'!$A$36</c:f>
              <c:strCache>
                <c:ptCount val="1"/>
                <c:pt idx="0">
                  <c:v>Variabel del av grunnbonus</c:v>
                </c:pt>
              </c:strCache>
            </c:strRef>
          </c:tx>
          <c:spPr>
            <a:solidFill>
              <a:schemeClr val="accent1"/>
            </a:solidFill>
            <a:ln>
              <a:noFill/>
            </a:ln>
            <a:effectLst/>
          </c:spPr>
          <c:cat>
            <c:numRef>
              <c:f>'ulike utslag'!$B$35:$L$35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'ulike utslag'!$B$36:$L$36</c:f>
              <c:numCache>
                <c:formatCode>_-"kr"\ * #\ ##0_-;\-"kr"\ * #\ ##0_-;_-"kr"\ * "-"??_-;_-@_-</c:formatCode>
                <c:ptCount val="11"/>
                <c:pt idx="0">
                  <c:v>19999999.999999996</c:v>
                </c:pt>
                <c:pt idx="1">
                  <c:v>20089999.999999996</c:v>
                </c:pt>
                <c:pt idx="2">
                  <c:v>20171999.999999993</c:v>
                </c:pt>
                <c:pt idx="3">
                  <c:v>20245543.749999989</c:v>
                </c:pt>
                <c:pt idx="4">
                  <c:v>20310157.187499989</c:v>
                </c:pt>
                <c:pt idx="5">
                  <c:v>20365347.832031235</c:v>
                </c:pt>
                <c:pt idx="6">
                  <c:v>20410604.160546858</c:v>
                </c:pt>
                <c:pt idx="7">
                  <c:v>20445394.963093244</c:v>
                </c:pt>
                <c:pt idx="8">
                  <c:v>20469168.678166606</c:v>
                </c:pt>
                <c:pt idx="9">
                  <c:v>20481352.707141705</c:v>
                </c:pt>
                <c:pt idx="10">
                  <c:v>20481352.707141705</c:v>
                </c:pt>
              </c:numCache>
            </c:numRef>
          </c:val>
          <c:extLst>
            <c:ext xmlns:c16="http://schemas.microsoft.com/office/drawing/2014/chart" uri="{C3380CC4-5D6E-409C-BE32-E72D297353CC}">
              <c16:uniqueId val="{00000000-D64E-4134-B919-9F39C74949BC}"/>
            </c:ext>
          </c:extLst>
        </c:ser>
        <c:ser>
          <c:idx val="1"/>
          <c:order val="1"/>
          <c:tx>
            <c:strRef>
              <c:f>'ulike utslag'!$A$37</c:f>
              <c:strCache>
                <c:ptCount val="1"/>
                <c:pt idx="0">
                  <c:v>Fast del av grunnbonus</c:v>
                </c:pt>
              </c:strCache>
            </c:strRef>
          </c:tx>
          <c:spPr>
            <a:solidFill>
              <a:schemeClr val="accent4"/>
            </a:solidFill>
            <a:ln>
              <a:noFill/>
            </a:ln>
            <a:effectLst/>
          </c:spPr>
          <c:cat>
            <c:numRef>
              <c:f>'ulike utslag'!$B$35:$L$35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'ulike utslag'!$B$37:$L$37</c:f>
              <c:numCache>
                <c:formatCode>_-"kr"\ * #\ ##0_-;\-"kr"\ * #\ ##0_-;_-"kr"\ * "-"??_-;_-@_-</c:formatCode>
                <c:ptCount val="11"/>
                <c:pt idx="0">
                  <c:v>12000000</c:v>
                </c:pt>
                <c:pt idx="1">
                  <c:v>12299999.999999998</c:v>
                </c:pt>
                <c:pt idx="2">
                  <c:v>12607499.999999996</c:v>
                </c:pt>
                <c:pt idx="3">
                  <c:v>12922687.499999994</c:v>
                </c:pt>
                <c:pt idx="4">
                  <c:v>13245754.687499993</c:v>
                </c:pt>
                <c:pt idx="5">
                  <c:v>13576898.554687491</c:v>
                </c:pt>
                <c:pt idx="6">
                  <c:v>13916321.018554676</c:v>
                </c:pt>
                <c:pt idx="7">
                  <c:v>14264229.044018542</c:v>
                </c:pt>
                <c:pt idx="8">
                  <c:v>14620834.770119004</c:v>
                </c:pt>
                <c:pt idx="9">
                  <c:v>14986355.639371978</c:v>
                </c:pt>
                <c:pt idx="10">
                  <c:v>15361014.530356277</c:v>
                </c:pt>
              </c:numCache>
            </c:numRef>
          </c:val>
          <c:extLst>
            <c:ext xmlns:c16="http://schemas.microsoft.com/office/drawing/2014/chart" uri="{C3380CC4-5D6E-409C-BE32-E72D297353CC}">
              <c16:uniqueId val="{00000001-D64E-4134-B919-9F39C74949BC}"/>
            </c:ext>
          </c:extLst>
        </c:ser>
        <c:ser>
          <c:idx val="2"/>
          <c:order val="2"/>
          <c:tx>
            <c:strRef>
              <c:f>'ulike utslag'!$A$38</c:f>
              <c:strCache>
                <c:ptCount val="1"/>
                <c:pt idx="0">
                  <c:v>Tidliginnfasingsbonus</c:v>
                </c:pt>
              </c:strCache>
            </c:strRef>
          </c:tx>
          <c:spPr>
            <a:solidFill>
              <a:schemeClr val="accent2"/>
            </a:solidFill>
            <a:ln>
              <a:noFill/>
            </a:ln>
            <a:effectLst/>
          </c:spPr>
          <c:cat>
            <c:numRef>
              <c:f>'ulike utslag'!$B$35:$L$35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'ulike utslag'!$B$38:$L$38</c:f>
              <c:numCache>
                <c:formatCode>_-"kr"\ * #\ ##0_-;\-"kr"\ * #\ ##0_-;_-"kr"\ * "-"??_-;_-@_-</c:formatCode>
                <c:ptCount val="11"/>
                <c:pt idx="0">
                  <c:v>12000000</c:v>
                </c:pt>
                <c:pt idx="1">
                  <c:v>12299999.999999998</c:v>
                </c:pt>
                <c:pt idx="2">
                  <c:v>12607499.999999998</c:v>
                </c:pt>
                <c:pt idx="3">
                  <c:v>12922687.499999998</c:v>
                </c:pt>
              </c:numCache>
            </c:numRef>
          </c:val>
          <c:extLst>
            <c:ext xmlns:c16="http://schemas.microsoft.com/office/drawing/2014/chart" uri="{C3380CC4-5D6E-409C-BE32-E72D297353CC}">
              <c16:uniqueId val="{00000002-D64E-4134-B919-9F39C74949BC}"/>
            </c:ext>
          </c:extLst>
        </c:ser>
        <c:dLbls>
          <c:showLegendKey val="0"/>
          <c:showVal val="0"/>
          <c:showCatName val="0"/>
          <c:showSerName val="0"/>
          <c:showPercent val="0"/>
          <c:showBubbleSize val="0"/>
        </c:dLbls>
        <c:axId val="413903584"/>
        <c:axId val="413905544"/>
      </c:areaChart>
      <c:catAx>
        <c:axId val="413903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5544"/>
        <c:crosses val="autoZero"/>
        <c:auto val="1"/>
        <c:lblAlgn val="ctr"/>
        <c:lblOffset val="100"/>
        <c:noMultiLvlLbl val="0"/>
      </c:catAx>
      <c:valAx>
        <c:axId val="413905544"/>
        <c:scaling>
          <c:orientation val="minMax"/>
        </c:scaling>
        <c:delete val="0"/>
        <c:axPos val="l"/>
        <c:majorGridlines>
          <c:spPr>
            <a:ln w="9525" cap="flat" cmpd="sng" algn="ctr">
              <a:solidFill>
                <a:schemeClr val="tx1">
                  <a:lumMod val="15000"/>
                  <a:lumOff val="85000"/>
                </a:schemeClr>
              </a:solidFill>
              <a:round/>
            </a:ln>
            <a:effectLst/>
          </c:spPr>
        </c:majorGridlines>
        <c:numFmt formatCode="_-&quot;kr&quot;\ * #\ ##0_-;\-&quot;kr&quot;\ * #\ ##0_-;_-&quot;kr&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4139035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16</xdr:col>
      <xdr:colOff>647700</xdr:colOff>
      <xdr:row>10</xdr:row>
      <xdr:rowOff>4762</xdr:rowOff>
    </xdr:from>
    <xdr:to>
      <xdr:col>24</xdr:col>
      <xdr:colOff>9525</xdr:colOff>
      <xdr:row>26</xdr:row>
      <xdr:rowOff>119062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3</xdr:row>
      <xdr:rowOff>76200</xdr:rowOff>
    </xdr:from>
    <xdr:to>
      <xdr:col>5</xdr:col>
      <xdr:colOff>485430</xdr:colOff>
      <xdr:row>9</xdr:row>
      <xdr:rowOff>95126</xdr:rowOff>
    </xdr:to>
    <xdr:pic>
      <xdr:nvPicPr>
        <xdr:cNvPr id="3" name="Picture 2">
          <a:extLst>
            <a:ext uri="{FF2B5EF4-FFF2-40B4-BE49-F238E27FC236}">
              <a16:creationId xmlns:a16="http://schemas.microsoft.com/office/drawing/2014/main" id="{F8931892-42CA-421D-8093-9551B383AB9E}"/>
            </a:ext>
          </a:extLst>
        </xdr:cNvPr>
        <xdr:cNvPicPr>
          <a:picLocks noChangeAspect="1"/>
        </xdr:cNvPicPr>
      </xdr:nvPicPr>
      <xdr:blipFill>
        <a:blip xmlns:r="http://schemas.openxmlformats.org/officeDocument/2006/relationships" r:embed="rId1"/>
        <a:stretch>
          <a:fillRect/>
        </a:stretch>
      </xdr:blipFill>
      <xdr:spPr>
        <a:xfrm>
          <a:off x="276225" y="819150"/>
          <a:ext cx="2761905" cy="990476"/>
        </a:xfrm>
        <a:prstGeom prst="rect">
          <a:avLst/>
        </a:prstGeom>
      </xdr:spPr>
    </xdr:pic>
    <xdr:clientData/>
  </xdr:twoCellAnchor>
  <xdr:twoCellAnchor editAs="oneCell">
    <xdr:from>
      <xdr:col>0</xdr:col>
      <xdr:colOff>66675</xdr:colOff>
      <xdr:row>12</xdr:row>
      <xdr:rowOff>133350</xdr:rowOff>
    </xdr:from>
    <xdr:to>
      <xdr:col>15</xdr:col>
      <xdr:colOff>560832</xdr:colOff>
      <xdr:row>34</xdr:row>
      <xdr:rowOff>85286</xdr:rowOff>
    </xdr:to>
    <xdr:pic>
      <xdr:nvPicPr>
        <xdr:cNvPr id="4" name="Picture 3">
          <a:extLst>
            <a:ext uri="{FF2B5EF4-FFF2-40B4-BE49-F238E27FC236}">
              <a16:creationId xmlns:a16="http://schemas.microsoft.com/office/drawing/2014/main" id="{145E5BF9-389C-4AD2-A175-64B29248AF9F}"/>
            </a:ext>
          </a:extLst>
        </xdr:cNvPr>
        <xdr:cNvPicPr>
          <a:picLocks noChangeAspect="1"/>
        </xdr:cNvPicPr>
      </xdr:nvPicPr>
      <xdr:blipFill>
        <a:blip xmlns:r="http://schemas.openxmlformats.org/officeDocument/2006/relationships" r:embed="rId2"/>
        <a:stretch>
          <a:fillRect/>
        </a:stretch>
      </xdr:blipFill>
      <xdr:spPr>
        <a:xfrm>
          <a:off x="66675" y="2333625"/>
          <a:ext cx="9142857" cy="3514286"/>
        </a:xfrm>
        <a:prstGeom prst="rect">
          <a:avLst/>
        </a:prstGeom>
      </xdr:spPr>
    </xdr:pic>
    <xdr:clientData/>
  </xdr:twoCellAnchor>
  <xdr:twoCellAnchor editAs="oneCell">
    <xdr:from>
      <xdr:col>1</xdr:col>
      <xdr:colOff>0</xdr:colOff>
      <xdr:row>38</xdr:row>
      <xdr:rowOff>0</xdr:rowOff>
    </xdr:from>
    <xdr:to>
      <xdr:col>5</xdr:col>
      <xdr:colOff>37790</xdr:colOff>
      <xdr:row>44</xdr:row>
      <xdr:rowOff>133212</xdr:rowOff>
    </xdr:to>
    <xdr:pic>
      <xdr:nvPicPr>
        <xdr:cNvPr id="5" name="Picture 4">
          <a:extLst>
            <a:ext uri="{FF2B5EF4-FFF2-40B4-BE49-F238E27FC236}">
              <a16:creationId xmlns:a16="http://schemas.microsoft.com/office/drawing/2014/main" id="{7FED59AA-3615-4F12-9999-2D41C8D1D0A0}"/>
            </a:ext>
          </a:extLst>
        </xdr:cNvPr>
        <xdr:cNvPicPr>
          <a:picLocks noChangeAspect="1"/>
        </xdr:cNvPicPr>
      </xdr:nvPicPr>
      <xdr:blipFill>
        <a:blip xmlns:r="http://schemas.openxmlformats.org/officeDocument/2006/relationships" r:embed="rId3"/>
        <a:stretch>
          <a:fillRect/>
        </a:stretch>
      </xdr:blipFill>
      <xdr:spPr>
        <a:xfrm>
          <a:off x="114300" y="6410325"/>
          <a:ext cx="2476190" cy="1104762"/>
        </a:xfrm>
        <a:prstGeom prst="rect">
          <a:avLst/>
        </a:prstGeom>
      </xdr:spPr>
    </xdr:pic>
    <xdr:clientData/>
  </xdr:twoCellAnchor>
  <xdr:twoCellAnchor editAs="oneCell">
    <xdr:from>
      <xdr:col>1</xdr:col>
      <xdr:colOff>0</xdr:colOff>
      <xdr:row>48</xdr:row>
      <xdr:rowOff>0</xdr:rowOff>
    </xdr:from>
    <xdr:to>
      <xdr:col>7</xdr:col>
      <xdr:colOff>28114</xdr:colOff>
      <xdr:row>59</xdr:row>
      <xdr:rowOff>47396</xdr:rowOff>
    </xdr:to>
    <xdr:pic>
      <xdr:nvPicPr>
        <xdr:cNvPr id="6" name="Picture 5">
          <a:extLst>
            <a:ext uri="{FF2B5EF4-FFF2-40B4-BE49-F238E27FC236}">
              <a16:creationId xmlns:a16="http://schemas.microsoft.com/office/drawing/2014/main" id="{E5DAF098-E034-4686-A1BA-53C53CDBF9A7}"/>
            </a:ext>
          </a:extLst>
        </xdr:cNvPr>
        <xdr:cNvPicPr>
          <a:picLocks noChangeAspect="1"/>
        </xdr:cNvPicPr>
      </xdr:nvPicPr>
      <xdr:blipFill>
        <a:blip xmlns:r="http://schemas.openxmlformats.org/officeDocument/2006/relationships" r:embed="rId4"/>
        <a:stretch>
          <a:fillRect/>
        </a:stretch>
      </xdr:blipFill>
      <xdr:spPr>
        <a:xfrm>
          <a:off x="114300" y="7867650"/>
          <a:ext cx="3685714" cy="1828571"/>
        </a:xfrm>
        <a:prstGeom prst="rect">
          <a:avLst/>
        </a:prstGeom>
      </xdr:spPr>
    </xdr:pic>
    <xdr:clientData/>
  </xdr:twoCellAnchor>
  <xdr:twoCellAnchor editAs="oneCell">
    <xdr:from>
      <xdr:col>1</xdr:col>
      <xdr:colOff>0</xdr:colOff>
      <xdr:row>64</xdr:row>
      <xdr:rowOff>0</xdr:rowOff>
    </xdr:from>
    <xdr:to>
      <xdr:col>14</xdr:col>
      <xdr:colOff>456152</xdr:colOff>
      <xdr:row>83</xdr:row>
      <xdr:rowOff>142473</xdr:rowOff>
    </xdr:to>
    <xdr:pic>
      <xdr:nvPicPr>
        <xdr:cNvPr id="7" name="Picture 6">
          <a:extLst>
            <a:ext uri="{FF2B5EF4-FFF2-40B4-BE49-F238E27FC236}">
              <a16:creationId xmlns:a16="http://schemas.microsoft.com/office/drawing/2014/main" id="{A904F294-03EE-4533-8309-E98EABE6D1A2}"/>
            </a:ext>
          </a:extLst>
        </xdr:cNvPr>
        <xdr:cNvPicPr>
          <a:picLocks noChangeAspect="1"/>
        </xdr:cNvPicPr>
      </xdr:nvPicPr>
      <xdr:blipFill>
        <a:blip xmlns:r="http://schemas.openxmlformats.org/officeDocument/2006/relationships" r:embed="rId5"/>
        <a:stretch>
          <a:fillRect/>
        </a:stretch>
      </xdr:blipFill>
      <xdr:spPr>
        <a:xfrm>
          <a:off x="114300" y="10620375"/>
          <a:ext cx="8380952" cy="3219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xdr:colOff>
      <xdr:row>17</xdr:row>
      <xdr:rowOff>90487</xdr:rowOff>
    </xdr:from>
    <xdr:to>
      <xdr:col>18</xdr:col>
      <xdr:colOff>330750</xdr:colOff>
      <xdr:row>30</xdr:row>
      <xdr:rowOff>145462</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1457325</xdr:colOff>
      <xdr:row>12</xdr:row>
      <xdr:rowOff>42862</xdr:rowOff>
    </xdr:from>
    <xdr:to>
      <xdr:col>5</xdr:col>
      <xdr:colOff>359325</xdr:colOff>
      <xdr:row>29</xdr:row>
      <xdr:rowOff>33337</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676275</xdr:colOff>
      <xdr:row>5</xdr:row>
      <xdr:rowOff>42862</xdr:rowOff>
    </xdr:from>
    <xdr:to>
      <xdr:col>6</xdr:col>
      <xdr:colOff>1054650</xdr:colOff>
      <xdr:row>22</xdr:row>
      <xdr:rowOff>33337</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714375</xdr:colOff>
      <xdr:row>41</xdr:row>
      <xdr:rowOff>147637</xdr:rowOff>
    </xdr:from>
    <xdr:to>
      <xdr:col>12</xdr:col>
      <xdr:colOff>16425</xdr:colOff>
      <xdr:row>58</xdr:row>
      <xdr:rowOff>138112</xdr:rowOff>
    </xdr:to>
    <xdr:graphicFrame macro="">
      <xdr:nvGraphicFramePr>
        <xdr:cNvPr id="3" name="Chart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676275</xdr:colOff>
      <xdr:row>5</xdr:row>
      <xdr:rowOff>42862</xdr:rowOff>
    </xdr:from>
    <xdr:to>
      <xdr:col>6</xdr:col>
      <xdr:colOff>1054650</xdr:colOff>
      <xdr:row>22</xdr:row>
      <xdr:rowOff>33337</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714375</xdr:colOff>
      <xdr:row>41</xdr:row>
      <xdr:rowOff>147636</xdr:rowOff>
    </xdr:from>
    <xdr:to>
      <xdr:col>12</xdr:col>
      <xdr:colOff>16425</xdr:colOff>
      <xdr:row>64</xdr:row>
      <xdr:rowOff>139341</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Rute_Excel_theme">
  <a:themeElements>
    <a:clrScheme name="Ruter">
      <a:dk1>
        <a:srgbClr val="252525"/>
      </a:dk1>
      <a:lt1>
        <a:srgbClr val="F5F5F5"/>
      </a:lt1>
      <a:dk2>
        <a:srgbClr val="32374B"/>
      </a:dk2>
      <a:lt2>
        <a:srgbClr val="949494"/>
      </a:lt2>
      <a:accent1>
        <a:srgbClr val="E60000"/>
      </a:accent1>
      <a:accent2>
        <a:srgbClr val="EC700C"/>
      </a:accent2>
      <a:accent3>
        <a:srgbClr val="FFC800"/>
      </a:accent3>
      <a:accent4>
        <a:srgbClr val="76A300"/>
      </a:accent4>
      <a:accent5>
        <a:srgbClr val="0EA3B6"/>
      </a:accent5>
      <a:accent6>
        <a:srgbClr val="642C88"/>
      </a:accent6>
      <a:hlink>
        <a:srgbClr val="006CB3"/>
      </a:hlink>
      <a:folHlink>
        <a:srgbClr val="006BB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46"/>
  <sheetViews>
    <sheetView showGridLines="0" topLeftCell="A2" zoomScaleNormal="100" workbookViewId="0">
      <selection activeCell="E8" sqref="E8"/>
    </sheetView>
  </sheetViews>
  <sheetFormatPr defaultColWidth="8.85546875" defaultRowHeight="12.75" x14ac:dyDescent="0.2"/>
  <cols>
    <col min="1" max="1" width="28.7109375" bestFit="1" customWidth="1"/>
    <col min="2" max="2" width="16.140625" bestFit="1" customWidth="1"/>
    <col min="3" max="3" width="10" bestFit="1" customWidth="1"/>
    <col min="4" max="14" width="13.5703125" bestFit="1" customWidth="1"/>
    <col min="16" max="16" width="14.5703125" bestFit="1" customWidth="1"/>
  </cols>
  <sheetData>
    <row r="1" spans="1:16" x14ac:dyDescent="0.2">
      <c r="A1" s="21" t="s">
        <v>22</v>
      </c>
    </row>
    <row r="2" spans="1:16" x14ac:dyDescent="0.2">
      <c r="D2" s="1"/>
      <c r="E2" s="1"/>
      <c r="F2" s="1"/>
      <c r="G2" s="1"/>
      <c r="H2" s="1"/>
      <c r="I2" s="1"/>
      <c r="J2" s="1"/>
      <c r="K2" s="1"/>
      <c r="L2" s="1"/>
      <c r="M2" s="1"/>
      <c r="N2" s="1"/>
    </row>
    <row r="3" spans="1:16" x14ac:dyDescent="0.2">
      <c r="D3" s="1"/>
      <c r="E3" s="1"/>
      <c r="F3" s="1"/>
      <c r="G3" s="1"/>
      <c r="H3" s="1"/>
      <c r="I3" s="1"/>
      <c r="J3" s="1"/>
      <c r="K3" s="1"/>
      <c r="L3" s="1"/>
      <c r="M3" s="1"/>
      <c r="N3" s="1"/>
    </row>
    <row r="4" spans="1:16" x14ac:dyDescent="0.2">
      <c r="A4" t="s">
        <v>29</v>
      </c>
      <c r="B4">
        <v>100</v>
      </c>
      <c r="D4" s="64">
        <f>$B$4*'A1 - Faktorer'!B6</f>
        <v>100</v>
      </c>
      <c r="E4" s="64">
        <f>$B$4*'A1 - Faktorer'!C6</f>
        <v>102.49999999999999</v>
      </c>
      <c r="F4" s="64">
        <f>$B$4*'A1 - Faktorer'!D6</f>
        <v>105.06249999999999</v>
      </c>
      <c r="G4" s="64">
        <f>$B$4*'A1 - Faktorer'!E6</f>
        <v>107.68906249999999</v>
      </c>
      <c r="H4" s="64">
        <f>$B$4*'A1 - Faktorer'!F6</f>
        <v>110.38128906249997</v>
      </c>
      <c r="I4" s="64">
        <f>$B$4*'A1 - Faktorer'!G6</f>
        <v>113.14082128906247</v>
      </c>
      <c r="J4" s="64">
        <f>$B$4*'A1 - Faktorer'!H6</f>
        <v>115.96934182128902</v>
      </c>
      <c r="K4" s="64">
        <f>$B$4*'A1 - Faktorer'!I6</f>
        <v>118.86857536682123</v>
      </c>
      <c r="L4" s="64">
        <f>$B$4*'A1 - Faktorer'!J6</f>
        <v>121.84028975099174</v>
      </c>
      <c r="M4" s="64">
        <f>$B$4*'A1 - Faktorer'!K6</f>
        <v>124.88629699476652</v>
      </c>
      <c r="N4" s="64">
        <f>$B$4*'A1 - Faktorer'!L6</f>
        <v>128.00845441963565</v>
      </c>
      <c r="O4" s="20"/>
    </row>
    <row r="5" spans="1:16" x14ac:dyDescent="0.2">
      <c r="P5" t="s">
        <v>16</v>
      </c>
    </row>
    <row r="6" spans="1:16" x14ac:dyDescent="0.2">
      <c r="A6" t="s">
        <v>18</v>
      </c>
      <c r="B6" s="2">
        <v>12000000</v>
      </c>
      <c r="D6" s="57">
        <f>$B$6*'A1 - Faktorer'!B14</f>
        <v>12000000</v>
      </c>
      <c r="E6" s="58">
        <f>$B$6*'A1 - Faktorer'!C14</f>
        <v>12299999.999999998</v>
      </c>
      <c r="F6" s="58">
        <f>$B$6*'A1 - Faktorer'!D14</f>
        <v>12607499.999999998</v>
      </c>
      <c r="G6" s="58">
        <f>$B$6*'A1 - Faktorer'!E14</f>
        <v>12922687.499999998</v>
      </c>
      <c r="H6" s="58">
        <f>$B$6*'A1 - Faktorer'!F14</f>
        <v>13245754.687499996</v>
      </c>
      <c r="I6" s="58">
        <f>$B$6*'A1 - Faktorer'!G14</f>
        <v>13576898.554687496</v>
      </c>
      <c r="J6" s="58">
        <f>$B$6*'A1 - Faktorer'!H14</f>
        <v>13916321.018554682</v>
      </c>
      <c r="K6" s="58">
        <f>$B$6*'A1 - Faktorer'!I14</f>
        <v>14264229.044018548</v>
      </c>
      <c r="L6" s="58">
        <f>$B$6*'A1 - Faktorer'!J14</f>
        <v>14620834.77011901</v>
      </c>
      <c r="M6" s="58">
        <f>$B$6*'A1 - Faktorer'!K14</f>
        <v>14986355.639371982</v>
      </c>
      <c r="N6" s="58">
        <f>$B$6*'A1 - Faktorer'!L14</f>
        <v>15361014.530356281</v>
      </c>
      <c r="O6" s="59"/>
      <c r="P6" s="63">
        <f>SUM(D6:N6)</f>
        <v>149801595.74460801</v>
      </c>
    </row>
    <row r="7" spans="1:16" x14ac:dyDescent="0.2">
      <c r="A7" t="s">
        <v>36</v>
      </c>
      <c r="B7" s="2">
        <v>12000000</v>
      </c>
      <c r="D7" s="60">
        <f>$B$7*'A2 - Faktorer'!B14</f>
        <v>12000000</v>
      </c>
      <c r="E7" s="41">
        <f>$B$7*'A2 - Faktorer'!C14</f>
        <v>12299999.999999998</v>
      </c>
      <c r="F7" s="41">
        <f>$B$7*'A2 - Faktorer'!D14</f>
        <v>12607499.999999998</v>
      </c>
      <c r="G7" s="41">
        <f>$B$7*'A2 - Faktorer'!E14</f>
        <v>12922687.499999998</v>
      </c>
      <c r="H7" s="41"/>
      <c r="I7" s="41"/>
      <c r="J7" s="41"/>
      <c r="K7" s="41"/>
      <c r="L7" s="41"/>
      <c r="M7" s="41"/>
      <c r="N7" s="41"/>
      <c r="O7" s="61"/>
      <c r="P7" s="62">
        <f>SUM(D7:N7)</f>
        <v>49830187.5</v>
      </c>
    </row>
    <row r="8" spans="1:16" x14ac:dyDescent="0.2">
      <c r="B8" s="2"/>
      <c r="D8" s="2"/>
      <c r="E8" s="2"/>
      <c r="F8" s="2"/>
      <c r="G8" s="2"/>
      <c r="H8" s="2"/>
      <c r="I8" s="2"/>
      <c r="J8" s="2"/>
      <c r="K8" s="2"/>
      <c r="L8" s="2"/>
      <c r="M8" s="2"/>
      <c r="N8" s="2"/>
      <c r="P8" s="3">
        <f>SUM(P6:P7)</f>
        <v>199631783.24460801</v>
      </c>
    </row>
    <row r="9" spans="1:16" x14ac:dyDescent="0.2">
      <c r="D9" s="2"/>
    </row>
    <row r="10" spans="1:16" x14ac:dyDescent="0.2">
      <c r="A10" t="s">
        <v>1</v>
      </c>
      <c r="B10" s="3">
        <f>(B6/B4)/12</f>
        <v>10000</v>
      </c>
      <c r="D10" s="2">
        <f>((D7/D4)+(D6/D4))/12</f>
        <v>20000</v>
      </c>
      <c r="E10" s="2">
        <f t="shared" ref="E10:N10" si="0">((E7/E4)+(E6/E4))/12</f>
        <v>20000</v>
      </c>
      <c r="F10" s="2">
        <f t="shared" si="0"/>
        <v>20000</v>
      </c>
      <c r="G10" s="2">
        <f t="shared" si="0"/>
        <v>19999.999999999996</v>
      </c>
      <c r="H10" s="2">
        <f t="shared" si="0"/>
        <v>10000</v>
      </c>
      <c r="I10" s="2">
        <f t="shared" si="0"/>
        <v>10000</v>
      </c>
      <c r="J10" s="2">
        <f t="shared" si="0"/>
        <v>10000</v>
      </c>
      <c r="K10" s="2">
        <f t="shared" si="0"/>
        <v>10000</v>
      </c>
      <c r="L10" s="2">
        <f t="shared" si="0"/>
        <v>10000</v>
      </c>
      <c r="M10" s="2">
        <f t="shared" si="0"/>
        <v>9999.9999999999982</v>
      </c>
      <c r="N10" s="2">
        <f t="shared" si="0"/>
        <v>10000.000000000002</v>
      </c>
    </row>
    <row r="13" spans="1:16" ht="13.5" thickBot="1" x14ac:dyDescent="0.25"/>
    <row r="14" spans="1:16" ht="13.5" thickBot="1" x14ac:dyDescent="0.25">
      <c r="C14" s="190" t="s">
        <v>40</v>
      </c>
      <c r="D14" s="191"/>
      <c r="E14" s="191"/>
      <c r="F14" s="191"/>
      <c r="G14" s="191"/>
      <c r="H14" s="191"/>
      <c r="I14" s="191"/>
      <c r="J14" s="191"/>
      <c r="K14" s="191"/>
      <c r="L14" s="191"/>
      <c r="M14" s="191"/>
      <c r="N14" s="192"/>
    </row>
    <row r="15" spans="1:16" x14ac:dyDescent="0.2">
      <c r="A15" s="193" t="s">
        <v>74</v>
      </c>
      <c r="C15" s="4"/>
      <c r="D15" s="5"/>
      <c r="E15" s="5"/>
      <c r="F15" s="5"/>
      <c r="G15" s="5"/>
      <c r="H15" s="5"/>
      <c r="I15" s="5"/>
      <c r="J15" s="5"/>
      <c r="K15" s="5"/>
      <c r="L15" s="5"/>
      <c r="M15" s="5"/>
      <c r="N15" s="6"/>
    </row>
    <row r="16" spans="1:16" x14ac:dyDescent="0.2">
      <c r="A16" s="193"/>
      <c r="C16" s="35" t="s">
        <v>2</v>
      </c>
      <c r="D16" s="36">
        <v>2019</v>
      </c>
      <c r="E16" s="36">
        <v>2020</v>
      </c>
      <c r="F16" s="36">
        <v>2021</v>
      </c>
      <c r="G16" s="36">
        <v>2022</v>
      </c>
      <c r="H16" s="36">
        <v>2023</v>
      </c>
      <c r="I16" s="36">
        <v>2024</v>
      </c>
      <c r="J16" s="36">
        <v>2025</v>
      </c>
      <c r="K16" s="36">
        <v>2026</v>
      </c>
      <c r="L16" s="36">
        <v>2027</v>
      </c>
      <c r="M16" s="36">
        <v>2028</v>
      </c>
      <c r="N16" s="37">
        <v>2029</v>
      </c>
    </row>
    <row r="17" spans="1:14" x14ac:dyDescent="0.2">
      <c r="A17" s="193"/>
      <c r="C17" s="4" t="s">
        <v>3</v>
      </c>
      <c r="D17" s="12" t="s">
        <v>17</v>
      </c>
      <c r="E17" s="46">
        <v>10</v>
      </c>
      <c r="F17" s="46">
        <v>10</v>
      </c>
      <c r="G17" s="46">
        <v>50</v>
      </c>
      <c r="H17" s="46">
        <v>60</v>
      </c>
      <c r="I17" s="46">
        <v>60</v>
      </c>
      <c r="J17" s="46">
        <v>80</v>
      </c>
      <c r="K17" s="53">
        <v>100</v>
      </c>
      <c r="L17" s="51">
        <v>100</v>
      </c>
      <c r="M17" s="46">
        <v>100</v>
      </c>
      <c r="N17" s="49">
        <v>128</v>
      </c>
    </row>
    <row r="18" spans="1:14" x14ac:dyDescent="0.2">
      <c r="A18" s="193"/>
      <c r="C18" s="4" t="s">
        <v>4</v>
      </c>
      <c r="D18" s="12" t="s">
        <v>17</v>
      </c>
      <c r="E18" s="46">
        <v>10</v>
      </c>
      <c r="F18" s="46">
        <v>10</v>
      </c>
      <c r="G18" s="46">
        <v>50</v>
      </c>
      <c r="H18" s="46">
        <v>60</v>
      </c>
      <c r="I18" s="46">
        <v>60</v>
      </c>
      <c r="J18" s="46">
        <v>80</v>
      </c>
      <c r="K18" s="46">
        <v>100</v>
      </c>
      <c r="L18" s="51">
        <v>100</v>
      </c>
      <c r="M18" s="46">
        <v>100</v>
      </c>
      <c r="N18" s="48">
        <v>128</v>
      </c>
    </row>
    <row r="19" spans="1:14" x14ac:dyDescent="0.2">
      <c r="A19" s="193"/>
      <c r="C19" s="4" t="s">
        <v>5</v>
      </c>
      <c r="D19" s="12" t="s">
        <v>17</v>
      </c>
      <c r="E19" s="46">
        <v>10</v>
      </c>
      <c r="F19" s="46">
        <v>10</v>
      </c>
      <c r="G19" s="46">
        <v>50</v>
      </c>
      <c r="H19" s="46">
        <v>60</v>
      </c>
      <c r="I19" s="46">
        <v>60</v>
      </c>
      <c r="J19" s="46">
        <v>80</v>
      </c>
      <c r="K19" s="46">
        <v>100</v>
      </c>
      <c r="L19" s="51">
        <v>100</v>
      </c>
      <c r="M19" s="46">
        <v>100</v>
      </c>
      <c r="N19" s="48">
        <v>128</v>
      </c>
    </row>
    <row r="20" spans="1:14" x14ac:dyDescent="0.2">
      <c r="A20" s="193"/>
      <c r="C20" s="4" t="s">
        <v>6</v>
      </c>
      <c r="D20" s="12" t="s">
        <v>17</v>
      </c>
      <c r="E20" s="46">
        <v>10</v>
      </c>
      <c r="F20" s="46">
        <v>10</v>
      </c>
      <c r="G20" s="46">
        <v>50</v>
      </c>
      <c r="H20" s="46">
        <v>60</v>
      </c>
      <c r="I20" s="46">
        <v>60</v>
      </c>
      <c r="J20" s="46">
        <v>80</v>
      </c>
      <c r="K20" s="46">
        <v>100</v>
      </c>
      <c r="L20" s="51">
        <v>100</v>
      </c>
      <c r="M20" s="46">
        <v>100</v>
      </c>
      <c r="N20" s="48">
        <v>128</v>
      </c>
    </row>
    <row r="21" spans="1:14" x14ac:dyDescent="0.2">
      <c r="A21" s="193"/>
      <c r="C21" s="4" t="s">
        <v>7</v>
      </c>
      <c r="D21" s="12" t="s">
        <v>17</v>
      </c>
      <c r="E21" s="46">
        <v>10</v>
      </c>
      <c r="F21" s="46">
        <v>10</v>
      </c>
      <c r="G21" s="46">
        <v>50</v>
      </c>
      <c r="H21" s="46">
        <v>60</v>
      </c>
      <c r="I21" s="46">
        <v>60</v>
      </c>
      <c r="J21" s="46">
        <v>80</v>
      </c>
      <c r="K21" s="46">
        <v>100</v>
      </c>
      <c r="L21" s="51">
        <v>100</v>
      </c>
      <c r="M21" s="46">
        <v>100</v>
      </c>
      <c r="N21" s="48">
        <v>128</v>
      </c>
    </row>
    <row r="22" spans="1:14" ht="13.5" thickBot="1" x14ac:dyDescent="0.25">
      <c r="A22" s="193"/>
      <c r="C22" s="4" t="s">
        <v>8</v>
      </c>
      <c r="D22" s="49">
        <v>10</v>
      </c>
      <c r="E22" s="46">
        <v>10</v>
      </c>
      <c r="F22" s="46">
        <v>10</v>
      </c>
      <c r="G22" s="49">
        <v>60</v>
      </c>
      <c r="H22" s="46">
        <v>60</v>
      </c>
      <c r="I22" s="49">
        <v>80</v>
      </c>
      <c r="J22" s="46">
        <v>80</v>
      </c>
      <c r="K22" s="46">
        <v>100</v>
      </c>
      <c r="L22" s="51">
        <v>100</v>
      </c>
      <c r="M22" s="46">
        <v>100</v>
      </c>
      <c r="N22" s="48">
        <v>128</v>
      </c>
    </row>
    <row r="23" spans="1:14" x14ac:dyDescent="0.2">
      <c r="A23" s="193"/>
      <c r="C23" s="4" t="s">
        <v>9</v>
      </c>
      <c r="D23" s="46">
        <v>10</v>
      </c>
      <c r="E23" s="46">
        <v>10</v>
      </c>
      <c r="F23" s="49">
        <v>50</v>
      </c>
      <c r="G23" s="46">
        <v>60</v>
      </c>
      <c r="H23" s="46">
        <v>60</v>
      </c>
      <c r="I23" s="46">
        <v>80</v>
      </c>
      <c r="J23" s="46">
        <v>80</v>
      </c>
      <c r="K23" s="50">
        <v>100</v>
      </c>
      <c r="L23" s="46">
        <v>100</v>
      </c>
      <c r="M23" s="46">
        <v>100</v>
      </c>
      <c r="N23" s="16" t="s">
        <v>17</v>
      </c>
    </row>
    <row r="24" spans="1:14" x14ac:dyDescent="0.2">
      <c r="A24" s="193"/>
      <c r="C24" s="4" t="s">
        <v>10</v>
      </c>
      <c r="D24" s="46">
        <v>10</v>
      </c>
      <c r="E24" s="46">
        <v>10</v>
      </c>
      <c r="F24" s="46">
        <v>50</v>
      </c>
      <c r="G24" s="46">
        <v>60</v>
      </c>
      <c r="H24" s="46">
        <v>60</v>
      </c>
      <c r="I24" s="46">
        <v>80</v>
      </c>
      <c r="J24" s="46">
        <v>80</v>
      </c>
      <c r="K24" s="51">
        <v>100</v>
      </c>
      <c r="L24" s="46">
        <v>100</v>
      </c>
      <c r="M24" s="46">
        <v>100</v>
      </c>
      <c r="N24" s="16" t="s">
        <v>17</v>
      </c>
    </row>
    <row r="25" spans="1:14" x14ac:dyDescent="0.2">
      <c r="A25" s="193"/>
      <c r="C25" s="4" t="s">
        <v>11</v>
      </c>
      <c r="D25" s="46">
        <v>10</v>
      </c>
      <c r="E25" s="46">
        <v>10</v>
      </c>
      <c r="F25" s="46">
        <v>50</v>
      </c>
      <c r="G25" s="46">
        <v>60</v>
      </c>
      <c r="H25" s="46">
        <v>60</v>
      </c>
      <c r="I25" s="46">
        <v>80</v>
      </c>
      <c r="J25" s="46">
        <v>80</v>
      </c>
      <c r="K25" s="51">
        <v>100</v>
      </c>
      <c r="L25" s="46">
        <v>100</v>
      </c>
      <c r="M25" s="46">
        <v>100</v>
      </c>
      <c r="N25" s="16" t="s">
        <v>17</v>
      </c>
    </row>
    <row r="26" spans="1:14" x14ac:dyDescent="0.2">
      <c r="A26" s="193"/>
      <c r="C26" s="4" t="s">
        <v>12</v>
      </c>
      <c r="D26" s="46">
        <v>10</v>
      </c>
      <c r="E26" s="46">
        <v>10</v>
      </c>
      <c r="F26" s="46">
        <v>50</v>
      </c>
      <c r="G26" s="46">
        <v>60</v>
      </c>
      <c r="H26" s="46">
        <v>60</v>
      </c>
      <c r="I26" s="46">
        <v>80</v>
      </c>
      <c r="J26" s="46">
        <v>80</v>
      </c>
      <c r="K26" s="51">
        <v>100</v>
      </c>
      <c r="L26" s="46">
        <v>100</v>
      </c>
      <c r="M26" s="46">
        <v>100</v>
      </c>
      <c r="N26" s="16" t="s">
        <v>17</v>
      </c>
    </row>
    <row r="27" spans="1:14" x14ac:dyDescent="0.2">
      <c r="A27" s="193"/>
      <c r="C27" s="4" t="s">
        <v>13</v>
      </c>
      <c r="D27" s="46">
        <v>10</v>
      </c>
      <c r="E27" s="46">
        <v>10</v>
      </c>
      <c r="F27" s="46">
        <v>50</v>
      </c>
      <c r="G27" s="46">
        <v>60</v>
      </c>
      <c r="H27" s="46">
        <v>60</v>
      </c>
      <c r="I27" s="46">
        <v>80</v>
      </c>
      <c r="J27" s="46">
        <v>80</v>
      </c>
      <c r="K27" s="51">
        <v>100</v>
      </c>
      <c r="L27" s="46">
        <v>100</v>
      </c>
      <c r="M27" s="46">
        <v>100</v>
      </c>
      <c r="N27" s="16" t="s">
        <v>17</v>
      </c>
    </row>
    <row r="28" spans="1:14" ht="13.5" thickBot="1" x14ac:dyDescent="0.25">
      <c r="A28" s="193"/>
      <c r="C28" s="7" t="s">
        <v>14</v>
      </c>
      <c r="D28" s="47">
        <v>10</v>
      </c>
      <c r="E28" s="47">
        <v>10</v>
      </c>
      <c r="F28" s="47">
        <v>50</v>
      </c>
      <c r="G28" s="47">
        <v>60</v>
      </c>
      <c r="H28" s="47">
        <v>60</v>
      </c>
      <c r="I28" s="47">
        <v>80</v>
      </c>
      <c r="J28" s="47">
        <v>80</v>
      </c>
      <c r="K28" s="52">
        <v>100</v>
      </c>
      <c r="L28" s="47">
        <v>100</v>
      </c>
      <c r="M28" s="47">
        <v>100</v>
      </c>
      <c r="N28" s="17" t="s">
        <v>17</v>
      </c>
    </row>
    <row r="30" spans="1:14" ht="13.5" thickBot="1" x14ac:dyDescent="0.25"/>
    <row r="31" spans="1:14" ht="13.5" thickBot="1" x14ac:dyDescent="0.25">
      <c r="C31" s="190" t="s">
        <v>39</v>
      </c>
      <c r="D31" s="191"/>
      <c r="E31" s="191"/>
      <c r="F31" s="191"/>
      <c r="G31" s="191"/>
      <c r="H31" s="191"/>
      <c r="I31" s="191"/>
      <c r="J31" s="191"/>
      <c r="K31" s="191"/>
      <c r="L31" s="191"/>
      <c r="M31" s="191"/>
      <c r="N31" s="192"/>
    </row>
    <row r="32" spans="1:14" x14ac:dyDescent="0.2">
      <c r="C32" s="4"/>
      <c r="D32" s="5"/>
      <c r="E32" s="5"/>
      <c r="F32" s="5"/>
      <c r="G32" s="5"/>
      <c r="H32" s="5"/>
      <c r="I32" s="5"/>
      <c r="J32" s="5"/>
      <c r="K32" s="5"/>
      <c r="L32" s="5"/>
      <c r="M32" s="5"/>
      <c r="N32" s="6"/>
    </row>
    <row r="33" spans="3:16" x14ac:dyDescent="0.2">
      <c r="C33" s="35" t="s">
        <v>2</v>
      </c>
      <c r="D33" s="36">
        <v>2019</v>
      </c>
      <c r="E33" s="36">
        <v>2020</v>
      </c>
      <c r="F33" s="36">
        <v>2021</v>
      </c>
      <c r="G33" s="36">
        <v>2022</v>
      </c>
      <c r="H33" s="36">
        <v>2023</v>
      </c>
      <c r="I33" s="36">
        <v>2024</v>
      </c>
      <c r="J33" s="36">
        <v>2025</v>
      </c>
      <c r="K33" s="36">
        <v>2026</v>
      </c>
      <c r="L33" s="36">
        <v>2027</v>
      </c>
      <c r="M33" s="36">
        <v>2028</v>
      </c>
      <c r="N33" s="37">
        <v>2029</v>
      </c>
    </row>
    <row r="34" spans="3:16" x14ac:dyDescent="0.2">
      <c r="C34" s="4" t="s">
        <v>3</v>
      </c>
      <c r="D34" s="12" t="s">
        <v>17</v>
      </c>
      <c r="E34" s="8">
        <f t="shared" ref="E34:N34" si="1">E17*E$10</f>
        <v>200000</v>
      </c>
      <c r="F34" s="8">
        <f t="shared" si="1"/>
        <v>200000</v>
      </c>
      <c r="G34" s="8">
        <f t="shared" si="1"/>
        <v>999999.99999999977</v>
      </c>
      <c r="H34" s="8">
        <f t="shared" si="1"/>
        <v>600000</v>
      </c>
      <c r="I34" s="8">
        <f t="shared" si="1"/>
        <v>600000</v>
      </c>
      <c r="J34" s="8">
        <f t="shared" si="1"/>
        <v>800000</v>
      </c>
      <c r="K34" s="8">
        <f t="shared" si="1"/>
        <v>1000000</v>
      </c>
      <c r="L34" s="55">
        <f t="shared" si="1"/>
        <v>1000000</v>
      </c>
      <c r="M34" s="8">
        <f t="shared" si="1"/>
        <v>999999.99999999977</v>
      </c>
      <c r="N34" s="9">
        <f t="shared" si="1"/>
        <v>1280000.0000000002</v>
      </c>
    </row>
    <row r="35" spans="3:16" x14ac:dyDescent="0.2">
      <c r="C35" s="4" t="s">
        <v>4</v>
      </c>
      <c r="D35" s="12" t="s">
        <v>17</v>
      </c>
      <c r="E35" s="8">
        <f t="shared" ref="E35:N35" si="2">E18*E$10</f>
        <v>200000</v>
      </c>
      <c r="F35" s="8">
        <f t="shared" si="2"/>
        <v>200000</v>
      </c>
      <c r="G35" s="8">
        <f t="shared" si="2"/>
        <v>999999.99999999977</v>
      </c>
      <c r="H35" s="8">
        <f t="shared" si="2"/>
        <v>600000</v>
      </c>
      <c r="I35" s="8">
        <f t="shared" si="2"/>
        <v>600000</v>
      </c>
      <c r="J35" s="8">
        <f t="shared" si="2"/>
        <v>800000</v>
      </c>
      <c r="K35" s="8">
        <f t="shared" si="2"/>
        <v>1000000</v>
      </c>
      <c r="L35" s="55">
        <f t="shared" si="2"/>
        <v>1000000</v>
      </c>
      <c r="M35" s="8">
        <f t="shared" si="2"/>
        <v>999999.99999999977</v>
      </c>
      <c r="N35" s="9">
        <f t="shared" si="2"/>
        <v>1280000.0000000002</v>
      </c>
    </row>
    <row r="36" spans="3:16" x14ac:dyDescent="0.2">
      <c r="C36" s="4" t="s">
        <v>5</v>
      </c>
      <c r="D36" s="12" t="s">
        <v>17</v>
      </c>
      <c r="E36" s="8">
        <f t="shared" ref="E36:N36" si="3">E19*E$10</f>
        <v>200000</v>
      </c>
      <c r="F36" s="8">
        <f t="shared" si="3"/>
        <v>200000</v>
      </c>
      <c r="G36" s="8">
        <f t="shared" si="3"/>
        <v>999999.99999999977</v>
      </c>
      <c r="H36" s="8">
        <f t="shared" si="3"/>
        <v>600000</v>
      </c>
      <c r="I36" s="8">
        <f t="shared" si="3"/>
        <v>600000</v>
      </c>
      <c r="J36" s="8">
        <f t="shared" si="3"/>
        <v>800000</v>
      </c>
      <c r="K36" s="8">
        <f t="shared" si="3"/>
        <v>1000000</v>
      </c>
      <c r="L36" s="55">
        <f t="shared" si="3"/>
        <v>1000000</v>
      </c>
      <c r="M36" s="8">
        <f t="shared" si="3"/>
        <v>999999.99999999977</v>
      </c>
      <c r="N36" s="9">
        <f t="shared" si="3"/>
        <v>1280000.0000000002</v>
      </c>
    </row>
    <row r="37" spans="3:16" x14ac:dyDescent="0.2">
      <c r="C37" s="4" t="s">
        <v>6</v>
      </c>
      <c r="D37" s="12" t="s">
        <v>17</v>
      </c>
      <c r="E37" s="8">
        <f t="shared" ref="E37:N37" si="4">E20*E$10</f>
        <v>200000</v>
      </c>
      <c r="F37" s="8">
        <f t="shared" si="4"/>
        <v>200000</v>
      </c>
      <c r="G37" s="8">
        <f t="shared" si="4"/>
        <v>999999.99999999977</v>
      </c>
      <c r="H37" s="8">
        <f t="shared" si="4"/>
        <v>600000</v>
      </c>
      <c r="I37" s="8">
        <f t="shared" si="4"/>
        <v>600000</v>
      </c>
      <c r="J37" s="8">
        <f t="shared" si="4"/>
        <v>800000</v>
      </c>
      <c r="K37" s="8">
        <f t="shared" si="4"/>
        <v>1000000</v>
      </c>
      <c r="L37" s="55">
        <f t="shared" si="4"/>
        <v>1000000</v>
      </c>
      <c r="M37" s="8">
        <f t="shared" si="4"/>
        <v>999999.99999999977</v>
      </c>
      <c r="N37" s="9">
        <f t="shared" si="4"/>
        <v>1280000.0000000002</v>
      </c>
    </row>
    <row r="38" spans="3:16" x14ac:dyDescent="0.2">
      <c r="C38" s="4" t="s">
        <v>7</v>
      </c>
      <c r="D38" s="12" t="s">
        <v>17</v>
      </c>
      <c r="E38" s="8">
        <f t="shared" ref="E38:N38" si="5">E21*E$10</f>
        <v>200000</v>
      </c>
      <c r="F38" s="8">
        <f t="shared" si="5"/>
        <v>200000</v>
      </c>
      <c r="G38" s="8">
        <f t="shared" si="5"/>
        <v>999999.99999999977</v>
      </c>
      <c r="H38" s="8">
        <f t="shared" si="5"/>
        <v>600000</v>
      </c>
      <c r="I38" s="8">
        <f t="shared" si="5"/>
        <v>600000</v>
      </c>
      <c r="J38" s="8">
        <f t="shared" si="5"/>
        <v>800000</v>
      </c>
      <c r="K38" s="8">
        <f t="shared" si="5"/>
        <v>1000000</v>
      </c>
      <c r="L38" s="55">
        <f t="shared" si="5"/>
        <v>1000000</v>
      </c>
      <c r="M38" s="8">
        <f t="shared" si="5"/>
        <v>999999.99999999977</v>
      </c>
      <c r="N38" s="9">
        <f t="shared" si="5"/>
        <v>1280000.0000000002</v>
      </c>
    </row>
    <row r="39" spans="3:16" ht="13.5" thickBot="1" x14ac:dyDescent="0.25">
      <c r="C39" s="4" t="s">
        <v>8</v>
      </c>
      <c r="D39" s="8">
        <f>D22*D$10</f>
        <v>200000</v>
      </c>
      <c r="E39" s="8">
        <f t="shared" ref="E39:N39" si="6">E22*E$10</f>
        <v>200000</v>
      </c>
      <c r="F39" s="8">
        <f t="shared" si="6"/>
        <v>200000</v>
      </c>
      <c r="G39" s="8">
        <f t="shared" si="6"/>
        <v>1199999.9999999998</v>
      </c>
      <c r="H39" s="8">
        <f t="shared" si="6"/>
        <v>600000</v>
      </c>
      <c r="I39" s="8">
        <f t="shared" si="6"/>
        <v>800000</v>
      </c>
      <c r="J39" s="8">
        <f t="shared" si="6"/>
        <v>800000</v>
      </c>
      <c r="K39" s="8">
        <f t="shared" si="6"/>
        <v>1000000</v>
      </c>
      <c r="L39" s="55">
        <f t="shared" si="6"/>
        <v>1000000</v>
      </c>
      <c r="M39" s="8">
        <f t="shared" si="6"/>
        <v>999999.99999999977</v>
      </c>
      <c r="N39" s="9">
        <f t="shared" si="6"/>
        <v>1280000.0000000002</v>
      </c>
    </row>
    <row r="40" spans="3:16" x14ac:dyDescent="0.2">
      <c r="C40" s="4" t="s">
        <v>9</v>
      </c>
      <c r="D40" s="8">
        <f t="shared" ref="D40:D45" si="7">D23*D$10</f>
        <v>200000</v>
      </c>
      <c r="E40" s="8">
        <f t="shared" ref="E40:M40" si="8">E23*E$10</f>
        <v>200000</v>
      </c>
      <c r="F40" s="8">
        <f t="shared" si="8"/>
        <v>1000000</v>
      </c>
      <c r="G40" s="8">
        <f t="shared" si="8"/>
        <v>1199999.9999999998</v>
      </c>
      <c r="H40" s="8">
        <f t="shared" si="8"/>
        <v>600000</v>
      </c>
      <c r="I40" s="8">
        <f t="shared" si="8"/>
        <v>800000</v>
      </c>
      <c r="J40" s="8">
        <f t="shared" si="8"/>
        <v>800000</v>
      </c>
      <c r="K40" s="54">
        <f t="shared" si="8"/>
        <v>1000000</v>
      </c>
      <c r="L40" s="8">
        <f t="shared" si="8"/>
        <v>1000000</v>
      </c>
      <c r="M40" s="8">
        <f t="shared" si="8"/>
        <v>999999.99999999977</v>
      </c>
      <c r="N40" s="19" t="s">
        <v>17</v>
      </c>
    </row>
    <row r="41" spans="3:16" x14ac:dyDescent="0.2">
      <c r="C41" s="4" t="s">
        <v>10</v>
      </c>
      <c r="D41" s="8">
        <f t="shared" si="7"/>
        <v>200000</v>
      </c>
      <c r="E41" s="8">
        <f t="shared" ref="E41:M41" si="9">E24*E$10</f>
        <v>200000</v>
      </c>
      <c r="F41" s="8">
        <f t="shared" si="9"/>
        <v>1000000</v>
      </c>
      <c r="G41" s="8">
        <f t="shared" si="9"/>
        <v>1199999.9999999998</v>
      </c>
      <c r="H41" s="8">
        <f t="shared" si="9"/>
        <v>600000</v>
      </c>
      <c r="I41" s="8">
        <f t="shared" si="9"/>
        <v>800000</v>
      </c>
      <c r="J41" s="8">
        <f t="shared" si="9"/>
        <v>800000</v>
      </c>
      <c r="K41" s="55">
        <f t="shared" si="9"/>
        <v>1000000</v>
      </c>
      <c r="L41" s="8">
        <f t="shared" si="9"/>
        <v>1000000</v>
      </c>
      <c r="M41" s="8">
        <f t="shared" si="9"/>
        <v>999999.99999999977</v>
      </c>
      <c r="N41" s="19" t="s">
        <v>17</v>
      </c>
    </row>
    <row r="42" spans="3:16" x14ac:dyDescent="0.2">
      <c r="C42" s="4" t="s">
        <v>11</v>
      </c>
      <c r="D42" s="8">
        <f t="shared" si="7"/>
        <v>200000</v>
      </c>
      <c r="E42" s="8">
        <f t="shared" ref="E42:M42" si="10">E25*E$10</f>
        <v>200000</v>
      </c>
      <c r="F42" s="8">
        <f t="shared" si="10"/>
        <v>1000000</v>
      </c>
      <c r="G42" s="8">
        <f t="shared" si="10"/>
        <v>1199999.9999999998</v>
      </c>
      <c r="H42" s="8">
        <f t="shared" si="10"/>
        <v>600000</v>
      </c>
      <c r="I42" s="8">
        <f t="shared" si="10"/>
        <v>800000</v>
      </c>
      <c r="J42" s="8">
        <f t="shared" si="10"/>
        <v>800000</v>
      </c>
      <c r="K42" s="55">
        <f t="shared" si="10"/>
        <v>1000000</v>
      </c>
      <c r="L42" s="8">
        <f t="shared" si="10"/>
        <v>1000000</v>
      </c>
      <c r="M42" s="8">
        <f t="shared" si="10"/>
        <v>999999.99999999977</v>
      </c>
      <c r="N42" s="19" t="s">
        <v>17</v>
      </c>
    </row>
    <row r="43" spans="3:16" x14ac:dyDescent="0.2">
      <c r="C43" s="4" t="s">
        <v>12</v>
      </c>
      <c r="D43" s="8">
        <f t="shared" si="7"/>
        <v>200000</v>
      </c>
      <c r="E43" s="8">
        <f t="shared" ref="E43:M43" si="11">E26*E$10</f>
        <v>200000</v>
      </c>
      <c r="F43" s="8">
        <f t="shared" si="11"/>
        <v>1000000</v>
      </c>
      <c r="G43" s="8">
        <f t="shared" si="11"/>
        <v>1199999.9999999998</v>
      </c>
      <c r="H43" s="8">
        <f t="shared" si="11"/>
        <v>600000</v>
      </c>
      <c r="I43" s="8">
        <f t="shared" si="11"/>
        <v>800000</v>
      </c>
      <c r="J43" s="8">
        <f t="shared" si="11"/>
        <v>800000</v>
      </c>
      <c r="K43" s="55">
        <f t="shared" si="11"/>
        <v>1000000</v>
      </c>
      <c r="L43" s="8">
        <f t="shared" si="11"/>
        <v>1000000</v>
      </c>
      <c r="M43" s="8">
        <f t="shared" si="11"/>
        <v>999999.99999999977</v>
      </c>
      <c r="N43" s="19" t="s">
        <v>17</v>
      </c>
    </row>
    <row r="44" spans="3:16" x14ac:dyDescent="0.2">
      <c r="C44" s="4" t="s">
        <v>13</v>
      </c>
      <c r="D44" s="8">
        <f t="shared" si="7"/>
        <v>200000</v>
      </c>
      <c r="E44" s="8">
        <f t="shared" ref="E44:M44" si="12">E27*E$10</f>
        <v>200000</v>
      </c>
      <c r="F44" s="8">
        <f t="shared" si="12"/>
        <v>1000000</v>
      </c>
      <c r="G44" s="8">
        <f t="shared" si="12"/>
        <v>1199999.9999999998</v>
      </c>
      <c r="H44" s="8">
        <f t="shared" si="12"/>
        <v>600000</v>
      </c>
      <c r="I44" s="8">
        <f t="shared" si="12"/>
        <v>800000</v>
      </c>
      <c r="J44" s="8">
        <f t="shared" si="12"/>
        <v>800000</v>
      </c>
      <c r="K44" s="55">
        <f t="shared" si="12"/>
        <v>1000000</v>
      </c>
      <c r="L44" s="8">
        <f t="shared" si="12"/>
        <v>1000000</v>
      </c>
      <c r="M44" s="8">
        <f t="shared" si="12"/>
        <v>999999.99999999977</v>
      </c>
      <c r="N44" s="19" t="s">
        <v>17</v>
      </c>
    </row>
    <row r="45" spans="3:16" x14ac:dyDescent="0.2">
      <c r="C45" s="4" t="s">
        <v>14</v>
      </c>
      <c r="D45" s="8">
        <f t="shared" si="7"/>
        <v>200000</v>
      </c>
      <c r="E45" s="8">
        <f t="shared" ref="E45:M45" si="13">E28*E$10</f>
        <v>200000</v>
      </c>
      <c r="F45" s="8">
        <f t="shared" si="13"/>
        <v>1000000</v>
      </c>
      <c r="G45" s="8">
        <f t="shared" si="13"/>
        <v>1199999.9999999998</v>
      </c>
      <c r="H45" s="8">
        <f t="shared" si="13"/>
        <v>600000</v>
      </c>
      <c r="I45" s="8">
        <f t="shared" si="13"/>
        <v>800000</v>
      </c>
      <c r="J45" s="8">
        <f t="shared" si="13"/>
        <v>800000</v>
      </c>
      <c r="K45" s="56">
        <f t="shared" si="13"/>
        <v>1000000</v>
      </c>
      <c r="L45" s="8">
        <f t="shared" si="13"/>
        <v>1000000</v>
      </c>
      <c r="M45" s="8">
        <f t="shared" si="13"/>
        <v>999999.99999999977</v>
      </c>
      <c r="N45" s="19" t="s">
        <v>17</v>
      </c>
      <c r="P45" t="s">
        <v>23</v>
      </c>
    </row>
    <row r="46" spans="3:16" ht="13.5" thickBot="1" x14ac:dyDescent="0.25">
      <c r="C46" s="10" t="s">
        <v>16</v>
      </c>
      <c r="D46" s="11">
        <f>SUM(D39:D45)</f>
        <v>1400000</v>
      </c>
      <c r="E46" s="11">
        <f>SUM(E34:E45)</f>
        <v>2400000</v>
      </c>
      <c r="F46" s="11">
        <f t="shared" ref="F46:N46" si="14">SUM(F34:F45)</f>
        <v>7200000</v>
      </c>
      <c r="G46" s="11">
        <f t="shared" si="14"/>
        <v>13399999.999999998</v>
      </c>
      <c r="H46" s="11">
        <f t="shared" si="14"/>
        <v>7200000</v>
      </c>
      <c r="I46" s="11">
        <f t="shared" si="14"/>
        <v>8600000</v>
      </c>
      <c r="J46" s="11">
        <f t="shared" si="14"/>
        <v>9600000</v>
      </c>
      <c r="K46" s="11">
        <f t="shared" si="14"/>
        <v>12000000</v>
      </c>
      <c r="L46" s="11">
        <f t="shared" si="14"/>
        <v>12000000</v>
      </c>
      <c r="M46" s="11">
        <f>SUM(M34:M45)</f>
        <v>11999999.999999998</v>
      </c>
      <c r="N46" s="18">
        <f t="shared" si="14"/>
        <v>7680000.0000000009</v>
      </c>
      <c r="P46" s="3">
        <f>SUM(D46:N46)</f>
        <v>93480000</v>
      </c>
    </row>
  </sheetData>
  <mergeCells count="3">
    <mergeCell ref="C14:N14"/>
    <mergeCell ref="C31:N31"/>
    <mergeCell ref="A15:A28"/>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B67"/>
  <sheetViews>
    <sheetView showGridLines="0" zoomScale="70" zoomScaleNormal="70" workbookViewId="0">
      <selection activeCell="F33" sqref="F33"/>
    </sheetView>
  </sheetViews>
  <sheetFormatPr defaultColWidth="8.85546875" defaultRowHeight="12.75" x14ac:dyDescent="0.2"/>
  <cols>
    <col min="1" max="1" width="28.7109375" bestFit="1" customWidth="1"/>
    <col min="2" max="2" width="16.140625" bestFit="1" customWidth="1"/>
    <col min="3" max="3" width="10.7109375" customWidth="1"/>
    <col min="4" max="4" width="15.140625" bestFit="1" customWidth="1"/>
    <col min="5" max="10" width="14.5703125" bestFit="1" customWidth="1"/>
    <col min="11" max="12" width="16.140625" bestFit="1" customWidth="1"/>
    <col min="13" max="14" width="14.5703125" bestFit="1" customWidth="1"/>
    <col min="15" max="15" width="2.7109375" customWidth="1"/>
    <col min="16" max="16" width="16.140625" bestFit="1" customWidth="1"/>
  </cols>
  <sheetData>
    <row r="1" spans="1:28" x14ac:dyDescent="0.2">
      <c r="A1" s="21" t="s">
        <v>43</v>
      </c>
    </row>
    <row r="2" spans="1:28" x14ac:dyDescent="0.2">
      <c r="D2" s="1"/>
      <c r="E2" s="1"/>
      <c r="F2" s="1"/>
      <c r="G2" s="1"/>
      <c r="H2" s="1"/>
      <c r="I2" s="1"/>
      <c r="J2" s="1"/>
      <c r="K2" s="1"/>
      <c r="L2" s="1"/>
      <c r="M2" s="1"/>
      <c r="N2" s="1"/>
    </row>
    <row r="3" spans="1:28" x14ac:dyDescent="0.2">
      <c r="D3" s="1"/>
      <c r="E3" s="1"/>
      <c r="F3" s="1"/>
      <c r="G3" s="1"/>
      <c r="H3" s="1"/>
      <c r="I3" s="1"/>
      <c r="J3" s="1"/>
      <c r="K3" s="1"/>
      <c r="L3" s="1"/>
      <c r="M3" s="1"/>
      <c r="N3" s="1"/>
    </row>
    <row r="4" spans="1:28" x14ac:dyDescent="0.2">
      <c r="A4" t="s">
        <v>33</v>
      </c>
      <c r="B4">
        <v>100</v>
      </c>
      <c r="D4" s="20">
        <f>$B$4*'A3 - Faktorer'!B6</f>
        <v>100</v>
      </c>
      <c r="E4" s="20">
        <f>$B$4*'A3 - Faktorer'!C6</f>
        <v>102.49999999999999</v>
      </c>
      <c r="F4" s="20">
        <f>$B$4*'A3 - Faktorer'!D6</f>
        <v>105.06249999999999</v>
      </c>
      <c r="G4" s="20">
        <f>$B$4*'A3 - Faktorer'!E6</f>
        <v>107.68906249999999</v>
      </c>
      <c r="H4" s="20">
        <f>$B$4*'A3 - Faktorer'!F6</f>
        <v>110.38128906249997</v>
      </c>
      <c r="I4" s="20">
        <f>$B$4*'A3 - Faktorer'!G6</f>
        <v>113.14082128906247</v>
      </c>
      <c r="J4" s="20">
        <f>$B$4*'A3 - Faktorer'!H6</f>
        <v>115.96934182128902</v>
      </c>
      <c r="K4" s="20">
        <f>$B$4*'A3 - Faktorer'!I6</f>
        <v>118.86857536682123</v>
      </c>
      <c r="L4" s="20">
        <f>$B$4*'A3 - Faktorer'!J6</f>
        <v>121.84028975099174</v>
      </c>
      <c r="M4" s="20">
        <f>$B$4*'A3 - Faktorer'!K6</f>
        <v>124.88629699476652</v>
      </c>
      <c r="N4" s="20">
        <f>$B$4*'A3 - Faktorer'!L6</f>
        <v>128.00845441963565</v>
      </c>
      <c r="O4" s="20"/>
    </row>
    <row r="6" spans="1:28" x14ac:dyDescent="0.2">
      <c r="A6" t="s">
        <v>18</v>
      </c>
      <c r="B6" s="2">
        <v>12000000</v>
      </c>
      <c r="D6" s="2">
        <f>$B$6*'A3 - Faktorer'!B14</f>
        <v>12000000</v>
      </c>
      <c r="E6" s="2">
        <f>$B$6*'A3 - Faktorer'!C14</f>
        <v>12299999.999999998</v>
      </c>
      <c r="F6" s="2">
        <f>$B$6*'A3 - Faktorer'!D14</f>
        <v>12607499.999999998</v>
      </c>
      <c r="G6" s="2">
        <f>$B$6*'A3 - Faktorer'!E14</f>
        <v>12922687.499999998</v>
      </c>
      <c r="H6" s="2">
        <f>$B$6*'A3 - Faktorer'!F14</f>
        <v>13245754.687499996</v>
      </c>
      <c r="I6" s="2">
        <f>$B$6*'A3 - Faktorer'!G14</f>
        <v>13576898.554687496</v>
      </c>
      <c r="J6" s="2">
        <f>$B$6*'A3 - Faktorer'!H14</f>
        <v>13916321.018554682</v>
      </c>
      <c r="K6" s="2">
        <f>$B$6*'A3 - Faktorer'!I14</f>
        <v>14264229.044018548</v>
      </c>
      <c r="L6" s="2">
        <f>$B$6*'A3 - Faktorer'!J14</f>
        <v>14620834.77011901</v>
      </c>
      <c r="M6" s="2">
        <f>$B$6*'A3 - Faktorer'!K14</f>
        <v>14986355.639371982</v>
      </c>
      <c r="N6" s="2">
        <f>$B$6*'A3 - Faktorer'!L14</f>
        <v>15361014.530356281</v>
      </c>
    </row>
    <row r="7" spans="1:28" x14ac:dyDescent="0.2">
      <c r="A7" t="s">
        <v>36</v>
      </c>
      <c r="B7" s="2">
        <v>12000000</v>
      </c>
      <c r="D7" s="2">
        <f>$B$7*'A3 - Faktorer'!B14</f>
        <v>12000000</v>
      </c>
      <c r="E7" s="2">
        <f>$B$7*'A3 - Faktorer'!C14</f>
        <v>12299999.999999998</v>
      </c>
      <c r="F7" s="2">
        <f>$B$7*'A3 - Faktorer'!D14</f>
        <v>12607499.999999998</v>
      </c>
      <c r="G7" s="2">
        <f>$B$7*'A3 - Faktorer'!E14</f>
        <v>12922687.499999998</v>
      </c>
      <c r="H7" s="2"/>
      <c r="I7" s="2"/>
      <c r="J7" s="2"/>
      <c r="K7" s="2"/>
      <c r="L7" s="2"/>
      <c r="M7" s="2"/>
      <c r="N7" s="2"/>
    </row>
    <row r="8" spans="1:28" x14ac:dyDescent="0.2">
      <c r="D8" s="2"/>
    </row>
    <row r="9" spans="1:28" x14ac:dyDescent="0.2">
      <c r="A9" t="s">
        <v>24</v>
      </c>
      <c r="B9" s="3">
        <f>B6/12</f>
        <v>1000000</v>
      </c>
      <c r="D9" s="2">
        <f>(D6+D7)/12</f>
        <v>2000000</v>
      </c>
      <c r="E9" s="2">
        <f t="shared" ref="E9:N9" si="0">(E6+E7)/12</f>
        <v>2049999.9999999998</v>
      </c>
      <c r="F9" s="2">
        <f t="shared" si="0"/>
        <v>2101249.9999999995</v>
      </c>
      <c r="G9" s="2">
        <f t="shared" si="0"/>
        <v>2153781.2499999995</v>
      </c>
      <c r="H9" s="2">
        <f t="shared" si="0"/>
        <v>1103812.8906249998</v>
      </c>
      <c r="I9" s="2">
        <f t="shared" si="0"/>
        <v>1131408.2128906248</v>
      </c>
      <c r="J9" s="2">
        <f t="shared" si="0"/>
        <v>1159693.4182128902</v>
      </c>
      <c r="K9" s="2">
        <f t="shared" si="0"/>
        <v>1188685.7536682123</v>
      </c>
      <c r="L9" s="2">
        <f t="shared" si="0"/>
        <v>1218402.8975099174</v>
      </c>
      <c r="M9" s="2">
        <f t="shared" si="0"/>
        <v>1248862.9699476652</v>
      </c>
      <c r="N9" s="2">
        <f t="shared" si="0"/>
        <v>1280084.5441963568</v>
      </c>
    </row>
    <row r="11" spans="1:28" x14ac:dyDescent="0.2">
      <c r="A11" s="23" t="s">
        <v>28</v>
      </c>
      <c r="D11" s="22"/>
      <c r="E11" s="22"/>
      <c r="F11" s="22"/>
      <c r="G11" s="22"/>
      <c r="H11" s="22"/>
    </row>
    <row r="13" spans="1:28" ht="13.5" thickBot="1" x14ac:dyDescent="0.25"/>
    <row r="14" spans="1:28" ht="13.5" thickBot="1" x14ac:dyDescent="0.25">
      <c r="C14" s="190" t="s">
        <v>31</v>
      </c>
      <c r="D14" s="191"/>
      <c r="E14" s="191"/>
      <c r="F14" s="191"/>
      <c r="G14" s="191"/>
      <c r="H14" s="191"/>
      <c r="I14" s="191"/>
      <c r="J14" s="191"/>
      <c r="K14" s="191"/>
      <c r="L14" s="191"/>
      <c r="M14" s="191"/>
      <c r="N14" s="192"/>
      <c r="Q14" s="190" t="s">
        <v>32</v>
      </c>
      <c r="R14" s="191"/>
      <c r="S14" s="191"/>
      <c r="T14" s="191"/>
      <c r="U14" s="191"/>
      <c r="V14" s="191"/>
      <c r="W14" s="191"/>
      <c r="X14" s="191"/>
      <c r="Y14" s="191"/>
      <c r="Z14" s="191"/>
      <c r="AA14" s="191"/>
      <c r="AB14" s="192"/>
    </row>
    <row r="15" spans="1:28" x14ac:dyDescent="0.2">
      <c r="A15" s="193" t="s">
        <v>30</v>
      </c>
      <c r="C15" s="4"/>
      <c r="D15" s="5"/>
      <c r="E15" s="5"/>
      <c r="F15" s="5"/>
      <c r="G15" s="5"/>
      <c r="H15" s="5"/>
      <c r="I15" s="5"/>
      <c r="J15" s="5"/>
      <c r="K15" s="5"/>
      <c r="L15" s="5"/>
      <c r="M15" s="5"/>
      <c r="N15" s="6"/>
      <c r="Q15" s="4"/>
      <c r="R15" s="5"/>
      <c r="S15" s="5"/>
      <c r="T15" s="5"/>
      <c r="U15" s="5"/>
      <c r="V15" s="5"/>
      <c r="W15" s="5"/>
      <c r="X15" s="5"/>
      <c r="Y15" s="5"/>
      <c r="Z15" s="5"/>
      <c r="AA15" s="5"/>
      <c r="AB15" s="6"/>
    </row>
    <row r="16" spans="1:28" x14ac:dyDescent="0.2">
      <c r="A16" s="193"/>
      <c r="C16" s="35" t="s">
        <v>2</v>
      </c>
      <c r="D16" s="36">
        <v>2019</v>
      </c>
      <c r="E16" s="36">
        <v>2020</v>
      </c>
      <c r="F16" s="36">
        <v>2021</v>
      </c>
      <c r="G16" s="36">
        <v>2022</v>
      </c>
      <c r="H16" s="36">
        <v>2023</v>
      </c>
      <c r="I16" s="36">
        <v>2024</v>
      </c>
      <c r="J16" s="36">
        <v>2025</v>
      </c>
      <c r="K16" s="36">
        <v>2026</v>
      </c>
      <c r="L16" s="36">
        <v>2027</v>
      </c>
      <c r="M16" s="36">
        <v>2028</v>
      </c>
      <c r="N16" s="37">
        <v>2029</v>
      </c>
      <c r="Q16" s="35" t="s">
        <v>2</v>
      </c>
      <c r="R16" s="36">
        <v>2019</v>
      </c>
      <c r="S16" s="36">
        <v>2020</v>
      </c>
      <c r="T16" s="36">
        <v>2021</v>
      </c>
      <c r="U16" s="36">
        <v>2022</v>
      </c>
      <c r="V16" s="36">
        <v>2023</v>
      </c>
      <c r="W16" s="36">
        <v>2024</v>
      </c>
      <c r="X16" s="36">
        <v>2025</v>
      </c>
      <c r="Y16" s="36">
        <v>2026</v>
      </c>
      <c r="Z16" s="36">
        <v>2027</v>
      </c>
      <c r="AA16" s="36">
        <v>2028</v>
      </c>
      <c r="AB16" s="37">
        <v>2029</v>
      </c>
    </row>
    <row r="17" spans="1:28" x14ac:dyDescent="0.2">
      <c r="A17" s="193"/>
      <c r="C17" s="4" t="s">
        <v>3</v>
      </c>
      <c r="D17" s="27" t="s">
        <v>17</v>
      </c>
      <c r="E17" s="43">
        <v>0.24</v>
      </c>
      <c r="F17" s="43">
        <v>0.3</v>
      </c>
      <c r="G17" s="43">
        <v>0.2</v>
      </c>
      <c r="H17" s="43">
        <v>0.3</v>
      </c>
      <c r="I17" s="43">
        <v>0.4</v>
      </c>
      <c r="J17" s="43">
        <v>0.5</v>
      </c>
      <c r="K17" s="43">
        <v>0.6</v>
      </c>
      <c r="L17" s="66">
        <v>0.8</v>
      </c>
      <c r="M17" s="43">
        <v>0.8</v>
      </c>
      <c r="N17" s="45">
        <v>0.9</v>
      </c>
      <c r="Q17" s="4" t="s">
        <v>3</v>
      </c>
      <c r="R17" s="27" t="s">
        <v>17</v>
      </c>
      <c r="S17" s="28">
        <v>0.12</v>
      </c>
      <c r="T17" s="29">
        <v>0.13</v>
      </c>
      <c r="U17" s="29">
        <v>0.2</v>
      </c>
      <c r="V17" s="29">
        <v>0.3</v>
      </c>
      <c r="W17" s="29">
        <v>0.5</v>
      </c>
      <c r="X17" s="29">
        <v>0.5</v>
      </c>
      <c r="Y17" s="29">
        <v>0.55000000000000004</v>
      </c>
      <c r="Z17" s="29">
        <v>0.8</v>
      </c>
      <c r="AA17" s="29">
        <v>0.9</v>
      </c>
      <c r="AB17" s="30">
        <v>1</v>
      </c>
    </row>
    <row r="18" spans="1:28" x14ac:dyDescent="0.2">
      <c r="A18" s="193"/>
      <c r="C18" s="4" t="s">
        <v>4</v>
      </c>
      <c r="D18" s="27" t="s">
        <v>17</v>
      </c>
      <c r="E18" s="43">
        <v>0.24</v>
      </c>
      <c r="F18" s="43">
        <v>0.3</v>
      </c>
      <c r="G18" s="43">
        <v>0.2</v>
      </c>
      <c r="H18" s="43">
        <v>0.3</v>
      </c>
      <c r="I18" s="43">
        <v>0.4</v>
      </c>
      <c r="J18" s="43">
        <v>0.5</v>
      </c>
      <c r="K18" s="43">
        <v>0.6</v>
      </c>
      <c r="L18" s="66">
        <v>0.8</v>
      </c>
      <c r="M18" s="43">
        <v>0.8</v>
      </c>
      <c r="N18" s="45">
        <v>0.9</v>
      </c>
      <c r="Q18" s="4" t="s">
        <v>4</v>
      </c>
      <c r="R18" s="27" t="s">
        <v>17</v>
      </c>
      <c r="S18" s="28">
        <v>0.12</v>
      </c>
      <c r="T18" s="29">
        <v>0.13</v>
      </c>
      <c r="U18" s="29">
        <v>0.2</v>
      </c>
      <c r="V18" s="29">
        <v>0.3</v>
      </c>
      <c r="W18" s="29">
        <v>0.5</v>
      </c>
      <c r="X18" s="29">
        <v>0.5</v>
      </c>
      <c r="Y18" s="29">
        <v>0.55000000000000004</v>
      </c>
      <c r="Z18" s="29">
        <v>0.8</v>
      </c>
      <c r="AA18" s="29">
        <v>0.9</v>
      </c>
      <c r="AB18" s="30">
        <v>1</v>
      </c>
    </row>
    <row r="19" spans="1:28" x14ac:dyDescent="0.2">
      <c r="A19" s="193"/>
      <c r="C19" s="4" t="s">
        <v>5</v>
      </c>
      <c r="D19" s="27" t="s">
        <v>17</v>
      </c>
      <c r="E19" s="43">
        <v>0.24</v>
      </c>
      <c r="F19" s="43">
        <v>0.3</v>
      </c>
      <c r="G19" s="43">
        <v>0.2</v>
      </c>
      <c r="H19" s="43">
        <v>0.3</v>
      </c>
      <c r="I19" s="43">
        <v>0.4</v>
      </c>
      <c r="J19" s="43">
        <v>0.5</v>
      </c>
      <c r="K19" s="43">
        <v>0.6</v>
      </c>
      <c r="L19" s="66">
        <v>0.8</v>
      </c>
      <c r="M19" s="43">
        <v>0.8</v>
      </c>
      <c r="N19" s="45">
        <v>0.9</v>
      </c>
      <c r="Q19" s="4" t="s">
        <v>5</v>
      </c>
      <c r="R19" s="27" t="s">
        <v>17</v>
      </c>
      <c r="S19" s="28">
        <v>0.12</v>
      </c>
      <c r="T19" s="29">
        <v>0.13</v>
      </c>
      <c r="U19" s="29">
        <v>0.2</v>
      </c>
      <c r="V19" s="29">
        <v>0.3</v>
      </c>
      <c r="W19" s="29">
        <v>0.5</v>
      </c>
      <c r="X19" s="29">
        <v>0.5</v>
      </c>
      <c r="Y19" s="29">
        <v>0.55000000000000004</v>
      </c>
      <c r="Z19" s="29">
        <v>0.8</v>
      </c>
      <c r="AA19" s="29">
        <v>0.9</v>
      </c>
      <c r="AB19" s="30">
        <v>1</v>
      </c>
    </row>
    <row r="20" spans="1:28" x14ac:dyDescent="0.2">
      <c r="A20" s="193"/>
      <c r="C20" s="4" t="s">
        <v>6</v>
      </c>
      <c r="D20" s="27" t="s">
        <v>17</v>
      </c>
      <c r="E20" s="43">
        <v>0.24</v>
      </c>
      <c r="F20" s="43">
        <v>0.3</v>
      </c>
      <c r="G20" s="43">
        <v>0.2</v>
      </c>
      <c r="H20" s="43">
        <v>0.3</v>
      </c>
      <c r="I20" s="43">
        <v>0.4</v>
      </c>
      <c r="J20" s="43">
        <v>0.5</v>
      </c>
      <c r="K20" s="43">
        <v>0.6</v>
      </c>
      <c r="L20" s="66">
        <v>0.8</v>
      </c>
      <c r="M20" s="43">
        <v>0.8</v>
      </c>
      <c r="N20" s="45">
        <v>0.9</v>
      </c>
      <c r="Q20" s="4" t="s">
        <v>6</v>
      </c>
      <c r="R20" s="27" t="s">
        <v>17</v>
      </c>
      <c r="S20" s="28">
        <v>0.12</v>
      </c>
      <c r="T20" s="29">
        <v>0.13</v>
      </c>
      <c r="U20" s="29">
        <v>0.2</v>
      </c>
      <c r="V20" s="29">
        <v>0.3</v>
      </c>
      <c r="W20" s="29">
        <v>0.5</v>
      </c>
      <c r="X20" s="29">
        <v>0.5</v>
      </c>
      <c r="Y20" s="29">
        <v>0.55000000000000004</v>
      </c>
      <c r="Z20" s="29">
        <v>0.8</v>
      </c>
      <c r="AA20" s="29">
        <v>0.9</v>
      </c>
      <c r="AB20" s="30">
        <v>1</v>
      </c>
    </row>
    <row r="21" spans="1:28" x14ac:dyDescent="0.2">
      <c r="A21" s="193"/>
      <c r="C21" s="4" t="s">
        <v>7</v>
      </c>
      <c r="D21" s="27" t="s">
        <v>17</v>
      </c>
      <c r="E21" s="43">
        <v>0.24</v>
      </c>
      <c r="F21" s="43">
        <v>0.3</v>
      </c>
      <c r="G21" s="43">
        <v>0.2</v>
      </c>
      <c r="H21" s="43">
        <v>0.3</v>
      </c>
      <c r="I21" s="43">
        <v>0.4</v>
      </c>
      <c r="J21" s="43">
        <v>0.5</v>
      </c>
      <c r="K21" s="43">
        <v>0.6</v>
      </c>
      <c r="L21" s="66">
        <v>0.8</v>
      </c>
      <c r="M21" s="43">
        <v>0.8</v>
      </c>
      <c r="N21" s="45">
        <v>0.9</v>
      </c>
      <c r="Q21" s="4" t="s">
        <v>7</v>
      </c>
      <c r="R21" s="27" t="s">
        <v>17</v>
      </c>
      <c r="S21" s="28">
        <v>0.12</v>
      </c>
      <c r="T21" s="29">
        <v>0.13</v>
      </c>
      <c r="U21" s="29">
        <v>0.2</v>
      </c>
      <c r="V21" s="29">
        <v>0.3</v>
      </c>
      <c r="W21" s="29">
        <v>0.5</v>
      </c>
      <c r="X21" s="29">
        <v>0.5</v>
      </c>
      <c r="Y21" s="29">
        <v>0.55000000000000004</v>
      </c>
      <c r="Z21" s="29">
        <v>0.8</v>
      </c>
      <c r="AA21" s="29">
        <v>0.9</v>
      </c>
      <c r="AB21" s="30">
        <v>1</v>
      </c>
    </row>
    <row r="22" spans="1:28" ht="13.5" thickBot="1" x14ac:dyDescent="0.25">
      <c r="A22" s="193"/>
      <c r="C22" s="4" t="s">
        <v>8</v>
      </c>
      <c r="D22" s="43">
        <v>0.11</v>
      </c>
      <c r="E22" s="43">
        <v>0.24</v>
      </c>
      <c r="F22" s="43">
        <v>0.3</v>
      </c>
      <c r="G22" s="43">
        <v>0.23</v>
      </c>
      <c r="H22" s="43">
        <v>0.3</v>
      </c>
      <c r="I22" s="43">
        <v>0.4</v>
      </c>
      <c r="J22" s="43">
        <v>0.5</v>
      </c>
      <c r="K22" s="43">
        <v>0.6</v>
      </c>
      <c r="L22" s="66">
        <v>0.8</v>
      </c>
      <c r="M22" s="43">
        <v>0.8</v>
      </c>
      <c r="N22" s="45">
        <v>0.9</v>
      </c>
      <c r="Q22" s="4" t="s">
        <v>8</v>
      </c>
      <c r="R22" s="28">
        <v>0.1</v>
      </c>
      <c r="S22" s="28">
        <v>0.12</v>
      </c>
      <c r="T22" s="29">
        <v>0.13</v>
      </c>
      <c r="U22" s="29">
        <v>0.2</v>
      </c>
      <c r="V22" s="29">
        <v>0.3</v>
      </c>
      <c r="W22" s="29">
        <v>0.5</v>
      </c>
      <c r="X22" s="29">
        <v>0.5</v>
      </c>
      <c r="Y22" s="29">
        <v>0.55000000000000004</v>
      </c>
      <c r="Z22" s="29">
        <v>0.8</v>
      </c>
      <c r="AA22" s="29">
        <v>0.9</v>
      </c>
      <c r="AB22" s="30">
        <v>1</v>
      </c>
    </row>
    <row r="23" spans="1:28" x14ac:dyDescent="0.2">
      <c r="A23" s="193"/>
      <c r="C23" s="4" t="s">
        <v>9</v>
      </c>
      <c r="D23" s="43">
        <v>0.11</v>
      </c>
      <c r="E23" s="43">
        <v>0.24</v>
      </c>
      <c r="F23" s="43">
        <v>0.3</v>
      </c>
      <c r="G23" s="43">
        <v>0.2</v>
      </c>
      <c r="H23" s="43">
        <v>0.3</v>
      </c>
      <c r="I23" s="43">
        <v>0.4</v>
      </c>
      <c r="J23" s="43">
        <v>0.5</v>
      </c>
      <c r="K23" s="65">
        <v>0.6</v>
      </c>
      <c r="L23" s="43">
        <v>0.8</v>
      </c>
      <c r="M23" s="43">
        <v>0.8</v>
      </c>
      <c r="N23" s="31" t="s">
        <v>17</v>
      </c>
      <c r="Q23" s="4" t="s">
        <v>9</v>
      </c>
      <c r="R23" s="28">
        <v>0.1</v>
      </c>
      <c r="S23" s="28">
        <v>0.12</v>
      </c>
      <c r="T23" s="29">
        <v>0.13</v>
      </c>
      <c r="U23" s="29">
        <v>0.2</v>
      </c>
      <c r="V23" s="29">
        <v>0.3</v>
      </c>
      <c r="W23" s="29">
        <v>0.5</v>
      </c>
      <c r="X23" s="29">
        <v>0.5</v>
      </c>
      <c r="Y23" s="29">
        <v>0.55000000000000004</v>
      </c>
      <c r="Z23" s="29">
        <v>0.8</v>
      </c>
      <c r="AA23" s="29">
        <v>0.9</v>
      </c>
      <c r="AB23" s="31" t="s">
        <v>17</v>
      </c>
    </row>
    <row r="24" spans="1:28" x14ac:dyDescent="0.2">
      <c r="A24" s="193"/>
      <c r="C24" s="4" t="s">
        <v>10</v>
      </c>
      <c r="D24" s="43">
        <v>0.11</v>
      </c>
      <c r="E24" s="43">
        <v>0.24</v>
      </c>
      <c r="F24" s="43">
        <v>0.3</v>
      </c>
      <c r="G24" s="43">
        <v>0.2</v>
      </c>
      <c r="H24" s="43">
        <v>0.3</v>
      </c>
      <c r="I24" s="43">
        <v>0.4</v>
      </c>
      <c r="J24" s="43">
        <v>0.5</v>
      </c>
      <c r="K24" s="66">
        <v>0.6</v>
      </c>
      <c r="L24" s="43">
        <v>0.8</v>
      </c>
      <c r="M24" s="43">
        <v>0.8</v>
      </c>
      <c r="N24" s="31" t="s">
        <v>17</v>
      </c>
      <c r="Q24" s="4" t="s">
        <v>10</v>
      </c>
      <c r="R24" s="28">
        <v>0.1</v>
      </c>
      <c r="S24" s="28">
        <v>0.12</v>
      </c>
      <c r="T24" s="29">
        <v>0.13</v>
      </c>
      <c r="U24" s="29">
        <v>0.2</v>
      </c>
      <c r="V24" s="29">
        <v>0.3</v>
      </c>
      <c r="W24" s="29">
        <v>0.5</v>
      </c>
      <c r="X24" s="29">
        <v>0.5</v>
      </c>
      <c r="Y24" s="29">
        <v>0.55000000000000004</v>
      </c>
      <c r="Z24" s="29">
        <v>0.8</v>
      </c>
      <c r="AA24" s="29">
        <v>0.9</v>
      </c>
      <c r="AB24" s="31" t="s">
        <v>17</v>
      </c>
    </row>
    <row r="25" spans="1:28" x14ac:dyDescent="0.2">
      <c r="A25" s="193"/>
      <c r="C25" s="4" t="s">
        <v>11</v>
      </c>
      <c r="D25" s="43">
        <v>0.11</v>
      </c>
      <c r="E25" s="43">
        <v>0.24</v>
      </c>
      <c r="F25" s="43">
        <v>0.3</v>
      </c>
      <c r="G25" s="43">
        <v>0.2</v>
      </c>
      <c r="H25" s="43">
        <v>0.3</v>
      </c>
      <c r="I25" s="43">
        <v>0.4</v>
      </c>
      <c r="J25" s="43">
        <v>0.5</v>
      </c>
      <c r="K25" s="66">
        <v>0.6</v>
      </c>
      <c r="L25" s="43">
        <v>0.8</v>
      </c>
      <c r="M25" s="43">
        <v>0.8</v>
      </c>
      <c r="N25" s="32" t="s">
        <v>17</v>
      </c>
      <c r="Q25" s="4" t="s">
        <v>11</v>
      </c>
      <c r="R25" s="28">
        <v>0.1</v>
      </c>
      <c r="S25" s="28">
        <v>0.12</v>
      </c>
      <c r="T25" s="28">
        <v>0.13</v>
      </c>
      <c r="U25" s="28">
        <v>0.2</v>
      </c>
      <c r="V25" s="28">
        <v>0.3</v>
      </c>
      <c r="W25" s="28">
        <v>0.5</v>
      </c>
      <c r="X25" s="28">
        <v>0.5</v>
      </c>
      <c r="Y25" s="28">
        <v>0.55000000000000004</v>
      </c>
      <c r="Z25" s="28">
        <v>0.8</v>
      </c>
      <c r="AA25" s="28">
        <v>0.9</v>
      </c>
      <c r="AB25" s="32" t="s">
        <v>17</v>
      </c>
    </row>
    <row r="26" spans="1:28" x14ac:dyDescent="0.2">
      <c r="A26" s="193"/>
      <c r="C26" s="4" t="s">
        <v>12</v>
      </c>
      <c r="D26" s="43">
        <v>0.11</v>
      </c>
      <c r="E26" s="43">
        <v>0.24</v>
      </c>
      <c r="F26" s="43">
        <v>0.3</v>
      </c>
      <c r="G26" s="43">
        <v>0.2</v>
      </c>
      <c r="H26" s="43">
        <v>0.3</v>
      </c>
      <c r="I26" s="43">
        <v>0.4</v>
      </c>
      <c r="J26" s="43">
        <v>0.5</v>
      </c>
      <c r="K26" s="66">
        <v>0.6</v>
      </c>
      <c r="L26" s="43">
        <v>0.8</v>
      </c>
      <c r="M26" s="43">
        <v>0.8</v>
      </c>
      <c r="N26" s="32" t="s">
        <v>17</v>
      </c>
      <c r="Q26" s="4" t="s">
        <v>12</v>
      </c>
      <c r="R26" s="28">
        <v>0.1</v>
      </c>
      <c r="S26" s="28">
        <v>0.12</v>
      </c>
      <c r="T26" s="28">
        <v>0.13</v>
      </c>
      <c r="U26" s="28">
        <v>0.2</v>
      </c>
      <c r="V26" s="28">
        <v>0.3</v>
      </c>
      <c r="W26" s="28">
        <v>0.5</v>
      </c>
      <c r="X26" s="28">
        <v>0.5</v>
      </c>
      <c r="Y26" s="28">
        <v>0.55000000000000004</v>
      </c>
      <c r="Z26" s="28">
        <v>0.8</v>
      </c>
      <c r="AA26" s="28">
        <v>0.9</v>
      </c>
      <c r="AB26" s="32" t="s">
        <v>17</v>
      </c>
    </row>
    <row r="27" spans="1:28" x14ac:dyDescent="0.2">
      <c r="A27" s="193"/>
      <c r="C27" s="4" t="s">
        <v>13</v>
      </c>
      <c r="D27" s="43">
        <v>0.11</v>
      </c>
      <c r="E27" s="43">
        <v>0.24</v>
      </c>
      <c r="F27" s="43">
        <v>0.3</v>
      </c>
      <c r="G27" s="43">
        <v>0.2</v>
      </c>
      <c r="H27" s="43">
        <v>0.3</v>
      </c>
      <c r="I27" s="43">
        <v>0.4</v>
      </c>
      <c r="J27" s="43">
        <v>0.5</v>
      </c>
      <c r="K27" s="66">
        <v>0.6</v>
      </c>
      <c r="L27" s="43">
        <v>0.8</v>
      </c>
      <c r="M27" s="43">
        <v>0.8</v>
      </c>
      <c r="N27" s="32" t="s">
        <v>17</v>
      </c>
      <c r="Q27" s="4" t="s">
        <v>13</v>
      </c>
      <c r="R27" s="28">
        <v>0.1</v>
      </c>
      <c r="S27" s="28">
        <v>0.12</v>
      </c>
      <c r="T27" s="28">
        <v>0.13</v>
      </c>
      <c r="U27" s="28">
        <v>0.2</v>
      </c>
      <c r="V27" s="28">
        <v>0.3</v>
      </c>
      <c r="W27" s="28">
        <v>0.5</v>
      </c>
      <c r="X27" s="28">
        <v>0.5</v>
      </c>
      <c r="Y27" s="28">
        <v>0.55000000000000004</v>
      </c>
      <c r="Z27" s="28">
        <v>0.8</v>
      </c>
      <c r="AA27" s="28">
        <v>0.9</v>
      </c>
      <c r="AB27" s="32" t="s">
        <v>17</v>
      </c>
    </row>
    <row r="28" spans="1:28" ht="13.5" thickBot="1" x14ac:dyDescent="0.25">
      <c r="A28" s="193"/>
      <c r="C28" s="7" t="s">
        <v>14</v>
      </c>
      <c r="D28" s="44">
        <v>0.11</v>
      </c>
      <c r="E28" s="44">
        <v>0.24</v>
      </c>
      <c r="F28" s="44">
        <v>0.3</v>
      </c>
      <c r="G28" s="44">
        <v>0.2</v>
      </c>
      <c r="H28" s="44">
        <v>0.3</v>
      </c>
      <c r="I28" s="44">
        <v>0.4</v>
      </c>
      <c r="J28" s="44">
        <v>0.5</v>
      </c>
      <c r="K28" s="67">
        <v>0.6</v>
      </c>
      <c r="L28" s="44">
        <v>0.8</v>
      </c>
      <c r="M28" s="44">
        <v>0.8</v>
      </c>
      <c r="N28" s="34" t="s">
        <v>17</v>
      </c>
      <c r="Q28" s="7" t="s">
        <v>14</v>
      </c>
      <c r="R28" s="33">
        <v>0.1</v>
      </c>
      <c r="S28" s="33">
        <v>0.12</v>
      </c>
      <c r="T28" s="33">
        <v>0.13</v>
      </c>
      <c r="U28" s="33">
        <v>0.2</v>
      </c>
      <c r="V28" s="33">
        <v>0.3</v>
      </c>
      <c r="W28" s="33">
        <v>0.5</v>
      </c>
      <c r="X28" s="33">
        <v>0.5</v>
      </c>
      <c r="Y28" s="33">
        <v>0.55000000000000004</v>
      </c>
      <c r="Z28" s="33">
        <v>0.8</v>
      </c>
      <c r="AA28" s="33">
        <v>0.9</v>
      </c>
      <c r="AB28" s="34" t="s">
        <v>17</v>
      </c>
    </row>
    <row r="30" spans="1:28" ht="13.5" thickBot="1" x14ac:dyDescent="0.25"/>
    <row r="31" spans="1:28" ht="13.5" thickBot="1" x14ac:dyDescent="0.25">
      <c r="C31" s="190" t="s">
        <v>15</v>
      </c>
      <c r="D31" s="191"/>
      <c r="E31" s="191"/>
      <c r="F31" s="191"/>
      <c r="G31" s="191"/>
      <c r="H31" s="191"/>
      <c r="I31" s="191"/>
      <c r="J31" s="191"/>
      <c r="K31" s="191"/>
      <c r="L31" s="191"/>
      <c r="M31" s="191"/>
      <c r="N31" s="192"/>
    </row>
    <row r="32" spans="1:28" x14ac:dyDescent="0.2">
      <c r="C32" s="4"/>
      <c r="D32" s="5"/>
      <c r="E32" s="5"/>
      <c r="F32" s="5"/>
      <c r="G32" s="5"/>
      <c r="H32" s="5"/>
      <c r="I32" s="5"/>
      <c r="J32" s="5"/>
      <c r="K32" s="5"/>
      <c r="L32" s="5"/>
      <c r="M32" s="5"/>
      <c r="N32" s="6"/>
    </row>
    <row r="33" spans="1:16" x14ac:dyDescent="0.2">
      <c r="A33" s="197" t="s">
        <v>41</v>
      </c>
      <c r="C33" s="35" t="s">
        <v>2</v>
      </c>
      <c r="D33" s="36">
        <v>2019</v>
      </c>
      <c r="E33" s="36">
        <v>2020</v>
      </c>
      <c r="F33" s="36">
        <v>2021</v>
      </c>
      <c r="G33" s="36">
        <v>2022</v>
      </c>
      <c r="H33" s="36">
        <v>2023</v>
      </c>
      <c r="I33" s="36">
        <v>2024</v>
      </c>
      <c r="J33" s="36">
        <v>2025</v>
      </c>
      <c r="K33" s="36">
        <v>2026</v>
      </c>
      <c r="L33" s="36">
        <v>2027</v>
      </c>
      <c r="M33" s="36">
        <v>2028</v>
      </c>
      <c r="N33" s="37">
        <v>2029</v>
      </c>
    </row>
    <row r="34" spans="1:16" x14ac:dyDescent="0.2">
      <c r="A34" s="198"/>
      <c r="C34" s="4" t="s">
        <v>3</v>
      </c>
      <c r="D34" s="24" t="s">
        <v>17</v>
      </c>
      <c r="E34" s="26">
        <f t="shared" ref="E34:E38" si="1">_xlfn.IFS(E17=S17,(E17-S17)*E$9,E17&gt;S17,((E17-S17)/S17)*E$9,E17&lt;S17,-(S17-E17)*$D$9)</f>
        <v>2049999.9999999998</v>
      </c>
      <c r="F34" s="26">
        <f t="shared" ref="F34:F45" si="2">_xlfn.IFS(F17=T17,(F17-T17)*F$9,F17&gt;T17,((F17-T17)/T17)*F$9,F17&lt;T17,-(T17-F17)*$D$9)</f>
        <v>2747788.4615384606</v>
      </c>
      <c r="G34" s="26">
        <f t="shared" ref="G34:G45" si="3">_xlfn.IFS(G17=U17,(G17-U17)*G$9,G17&gt;U17,((G17-U17)/U17)*G$9,G17&lt;U17,-(U17-G17)*$D$9)</f>
        <v>0</v>
      </c>
      <c r="H34" s="26">
        <f t="shared" ref="H34:H45" si="4">_xlfn.IFS(H17=V17,(H17-V17)*H$9,H17&gt;V17,((H17-V17)/V17)*H$9,H17&lt;V17,-(V17-H17)*$D$9)</f>
        <v>0</v>
      </c>
      <c r="I34" s="26">
        <f t="shared" ref="I34:I45" si="5">_xlfn.IFS(I17=W17,(I17-W17)*I$9,I17&gt;W17,((I17-W17)/W17)*I$9,I17&lt;W17,-(W17-I17)*$D$9)</f>
        <v>-199999.99999999994</v>
      </c>
      <c r="J34" s="26">
        <f t="shared" ref="J34:J45" si="6">_xlfn.IFS(J17=X17,(J17-X17)*J$9,J17&gt;X17,((J17-X17)/X17)*J$9,J17&lt;X17,-(X17-J17)*$D$9)</f>
        <v>0</v>
      </c>
      <c r="K34" s="26">
        <f t="shared" ref="K34:K45" si="7">_xlfn.IFS(K17=Y17,(K17-Y17)*K$9,K17&gt;Y17,((K17-Y17)/Y17)*K$9,K17&lt;Y17,-(Y17-K17)*$D$9)</f>
        <v>108062.34124256461</v>
      </c>
      <c r="L34" s="26">
        <f t="shared" ref="L34:L45" si="8">_xlfn.IFS(L17=Z17,(L17-Z17)*L$9,L17&gt;Z17,((L17-Z17)/Z17)*L$9,L17&lt;Z17,-(Z17-L17)*$D$9)</f>
        <v>0</v>
      </c>
      <c r="M34" s="26">
        <f t="shared" ref="M34:N45" si="9">_xlfn.IFS(M17=AA17,(M17-AA17)*M$9,M17&gt;AA17,((M17-AA17)/AA17)*M$9,M17&lt;AA17,-(AA17-M17)*$D$9)</f>
        <v>-199999.99999999994</v>
      </c>
      <c r="N34" s="26">
        <f t="shared" si="9"/>
        <v>-199999.99999999994</v>
      </c>
    </row>
    <row r="35" spans="1:16" x14ac:dyDescent="0.2">
      <c r="A35" s="198"/>
      <c r="C35" s="4" t="s">
        <v>4</v>
      </c>
      <c r="D35" s="24" t="s">
        <v>17</v>
      </c>
      <c r="E35" s="26">
        <f t="shared" si="1"/>
        <v>2049999.9999999998</v>
      </c>
      <c r="F35" s="26">
        <f t="shared" si="2"/>
        <v>2747788.4615384606</v>
      </c>
      <c r="G35" s="26">
        <f t="shared" si="3"/>
        <v>0</v>
      </c>
      <c r="H35" s="26">
        <f t="shared" si="4"/>
        <v>0</v>
      </c>
      <c r="I35" s="26">
        <f t="shared" si="5"/>
        <v>-199999.99999999994</v>
      </c>
      <c r="J35" s="26">
        <f t="shared" si="6"/>
        <v>0</v>
      </c>
      <c r="K35" s="26">
        <f t="shared" si="7"/>
        <v>108062.34124256461</v>
      </c>
      <c r="L35" s="26">
        <f t="shared" si="8"/>
        <v>0</v>
      </c>
      <c r="M35" s="26">
        <f t="shared" si="9"/>
        <v>-199999.99999999994</v>
      </c>
      <c r="N35" s="26">
        <f t="shared" si="9"/>
        <v>-199999.99999999994</v>
      </c>
    </row>
    <row r="36" spans="1:16" x14ac:dyDescent="0.2">
      <c r="A36" s="198"/>
      <c r="C36" s="4" t="s">
        <v>5</v>
      </c>
      <c r="D36" s="24" t="s">
        <v>17</v>
      </c>
      <c r="E36" s="26">
        <f t="shared" si="1"/>
        <v>2049999.9999999998</v>
      </c>
      <c r="F36" s="26">
        <f t="shared" si="2"/>
        <v>2747788.4615384606</v>
      </c>
      <c r="G36" s="26">
        <f t="shared" si="3"/>
        <v>0</v>
      </c>
      <c r="H36" s="26">
        <f t="shared" si="4"/>
        <v>0</v>
      </c>
      <c r="I36" s="26">
        <f t="shared" si="5"/>
        <v>-199999.99999999994</v>
      </c>
      <c r="J36" s="26">
        <f t="shared" si="6"/>
        <v>0</v>
      </c>
      <c r="K36" s="26">
        <f t="shared" si="7"/>
        <v>108062.34124256461</v>
      </c>
      <c r="L36" s="26">
        <f t="shared" si="8"/>
        <v>0</v>
      </c>
      <c r="M36" s="26">
        <f t="shared" si="9"/>
        <v>-199999.99999999994</v>
      </c>
      <c r="N36" s="26">
        <f t="shared" si="9"/>
        <v>-199999.99999999994</v>
      </c>
    </row>
    <row r="37" spans="1:16" x14ac:dyDescent="0.2">
      <c r="A37" s="198"/>
      <c r="C37" s="4" t="s">
        <v>6</v>
      </c>
      <c r="D37" s="24" t="s">
        <v>17</v>
      </c>
      <c r="E37" s="26">
        <f t="shared" si="1"/>
        <v>2049999.9999999998</v>
      </c>
      <c r="F37" s="26">
        <f t="shared" si="2"/>
        <v>2747788.4615384606</v>
      </c>
      <c r="G37" s="26">
        <f t="shared" si="3"/>
        <v>0</v>
      </c>
      <c r="H37" s="26">
        <f t="shared" si="4"/>
        <v>0</v>
      </c>
      <c r="I37" s="26">
        <f t="shared" si="5"/>
        <v>-199999.99999999994</v>
      </c>
      <c r="J37" s="26">
        <f t="shared" si="6"/>
        <v>0</v>
      </c>
      <c r="K37" s="26">
        <f t="shared" si="7"/>
        <v>108062.34124256461</v>
      </c>
      <c r="L37" s="26">
        <f t="shared" si="8"/>
        <v>0</v>
      </c>
      <c r="M37" s="26">
        <f t="shared" si="9"/>
        <v>-199999.99999999994</v>
      </c>
      <c r="N37" s="26">
        <f t="shared" si="9"/>
        <v>-199999.99999999994</v>
      </c>
    </row>
    <row r="38" spans="1:16" x14ac:dyDescent="0.2">
      <c r="A38" s="198"/>
      <c r="C38" s="4" t="s">
        <v>7</v>
      </c>
      <c r="D38" s="24" t="s">
        <v>17</v>
      </c>
      <c r="E38" s="26">
        <f t="shared" si="1"/>
        <v>2049999.9999999998</v>
      </c>
      <c r="F38" s="26">
        <f t="shared" si="2"/>
        <v>2747788.4615384606</v>
      </c>
      <c r="G38" s="26">
        <f t="shared" si="3"/>
        <v>0</v>
      </c>
      <c r="H38" s="26">
        <f t="shared" si="4"/>
        <v>0</v>
      </c>
      <c r="I38" s="26">
        <f t="shared" si="5"/>
        <v>-199999.99999999994</v>
      </c>
      <c r="J38" s="26">
        <f t="shared" si="6"/>
        <v>0</v>
      </c>
      <c r="K38" s="26">
        <f t="shared" si="7"/>
        <v>108062.34124256461</v>
      </c>
      <c r="L38" s="26">
        <f t="shared" si="8"/>
        <v>0</v>
      </c>
      <c r="M38" s="26">
        <f t="shared" si="9"/>
        <v>-199999.99999999994</v>
      </c>
      <c r="N38" s="26">
        <f t="shared" si="9"/>
        <v>-199999.99999999994</v>
      </c>
    </row>
    <row r="39" spans="1:16" x14ac:dyDescent="0.2">
      <c r="A39" s="198"/>
      <c r="C39" s="4" t="s">
        <v>8</v>
      </c>
      <c r="D39" s="26">
        <f>_xlfn.IFS(D22=R22,(D22-R22)*D$9,D22&gt;R22,((D22-R22)/R22)*D$9,D22&lt;R22,-(R22-D22)*$D$9)</f>
        <v>199999.99999999991</v>
      </c>
      <c r="E39" s="26">
        <f>_xlfn.IFS(E22=S22,(E22-S22)*E$9,E22&gt;S22,((E22-S22)/S22)*E$9,E22&lt;S22,-(S22-E22)*$D$9)</f>
        <v>2049999.9999999998</v>
      </c>
      <c r="F39" s="26">
        <f t="shared" si="2"/>
        <v>2747788.4615384606</v>
      </c>
      <c r="G39" s="26">
        <f t="shared" si="3"/>
        <v>323067.18749999994</v>
      </c>
      <c r="H39" s="26">
        <f t="shared" si="4"/>
        <v>0</v>
      </c>
      <c r="I39" s="26">
        <f t="shared" si="5"/>
        <v>-199999.99999999994</v>
      </c>
      <c r="J39" s="26">
        <f t="shared" si="6"/>
        <v>0</v>
      </c>
      <c r="K39" s="26">
        <f t="shared" si="7"/>
        <v>108062.34124256461</v>
      </c>
      <c r="L39" s="26">
        <f t="shared" si="8"/>
        <v>0</v>
      </c>
      <c r="M39" s="26">
        <f t="shared" si="9"/>
        <v>-199999.99999999994</v>
      </c>
      <c r="N39" s="26">
        <f t="shared" si="9"/>
        <v>-199999.99999999994</v>
      </c>
    </row>
    <row r="40" spans="1:16" x14ac:dyDescent="0.2">
      <c r="A40" s="198"/>
      <c r="C40" s="4" t="s">
        <v>9</v>
      </c>
      <c r="D40" s="26">
        <f t="shared" ref="D40:E45" si="10">_xlfn.IFS(D23=R23,(D23-R23)*D$9,D23&gt;R23,((D23-R23)/R23)*D$9,D23&lt;R23,-(R23-D23)*$D$9)</f>
        <v>199999.99999999991</v>
      </c>
      <c r="E40" s="26">
        <f t="shared" si="10"/>
        <v>2049999.9999999998</v>
      </c>
      <c r="F40" s="26">
        <f t="shared" si="2"/>
        <v>2747788.4615384606</v>
      </c>
      <c r="G40" s="26">
        <f t="shared" si="3"/>
        <v>0</v>
      </c>
      <c r="H40" s="26">
        <f t="shared" si="4"/>
        <v>0</v>
      </c>
      <c r="I40" s="26">
        <f t="shared" si="5"/>
        <v>-199999.99999999994</v>
      </c>
      <c r="J40" s="26">
        <f t="shared" si="6"/>
        <v>0</v>
      </c>
      <c r="K40" s="26">
        <f t="shared" si="7"/>
        <v>108062.34124256461</v>
      </c>
      <c r="L40" s="26">
        <f t="shared" si="8"/>
        <v>0</v>
      </c>
      <c r="M40" s="26">
        <f t="shared" si="9"/>
        <v>-199999.99999999994</v>
      </c>
      <c r="N40" s="25" t="s">
        <v>17</v>
      </c>
    </row>
    <row r="41" spans="1:16" x14ac:dyDescent="0.2">
      <c r="A41" s="198"/>
      <c r="C41" s="4" t="s">
        <v>10</v>
      </c>
      <c r="D41" s="26">
        <f t="shared" si="10"/>
        <v>199999.99999999991</v>
      </c>
      <c r="E41" s="26">
        <f t="shared" si="10"/>
        <v>2049999.9999999998</v>
      </c>
      <c r="F41" s="26">
        <f t="shared" si="2"/>
        <v>2747788.4615384606</v>
      </c>
      <c r="G41" s="26">
        <f t="shared" si="3"/>
        <v>0</v>
      </c>
      <c r="H41" s="26">
        <f t="shared" si="4"/>
        <v>0</v>
      </c>
      <c r="I41" s="26">
        <f t="shared" si="5"/>
        <v>-199999.99999999994</v>
      </c>
      <c r="J41" s="26">
        <f t="shared" si="6"/>
        <v>0</v>
      </c>
      <c r="K41" s="26">
        <f t="shared" si="7"/>
        <v>108062.34124256461</v>
      </c>
      <c r="L41" s="26">
        <f t="shared" si="8"/>
        <v>0</v>
      </c>
      <c r="M41" s="26">
        <f t="shared" si="9"/>
        <v>-199999.99999999994</v>
      </c>
      <c r="N41" s="25" t="s">
        <v>17</v>
      </c>
    </row>
    <row r="42" spans="1:16" x14ac:dyDescent="0.2">
      <c r="A42" s="198"/>
      <c r="C42" s="4" t="s">
        <v>11</v>
      </c>
      <c r="D42" s="26">
        <f t="shared" si="10"/>
        <v>199999.99999999991</v>
      </c>
      <c r="E42" s="26">
        <f t="shared" si="10"/>
        <v>2049999.9999999998</v>
      </c>
      <c r="F42" s="26">
        <f t="shared" si="2"/>
        <v>2747788.4615384606</v>
      </c>
      <c r="G42" s="26">
        <f t="shared" si="3"/>
        <v>0</v>
      </c>
      <c r="H42" s="26">
        <f t="shared" si="4"/>
        <v>0</v>
      </c>
      <c r="I42" s="26">
        <f t="shared" si="5"/>
        <v>-199999.99999999994</v>
      </c>
      <c r="J42" s="26">
        <f t="shared" si="6"/>
        <v>0</v>
      </c>
      <c r="K42" s="26">
        <f t="shared" si="7"/>
        <v>108062.34124256461</v>
      </c>
      <c r="L42" s="26">
        <f t="shared" si="8"/>
        <v>0</v>
      </c>
      <c r="M42" s="26">
        <f t="shared" si="9"/>
        <v>-199999.99999999994</v>
      </c>
      <c r="N42" s="25" t="s">
        <v>17</v>
      </c>
    </row>
    <row r="43" spans="1:16" x14ac:dyDescent="0.2">
      <c r="A43" s="198"/>
      <c r="C43" s="4" t="s">
        <v>12</v>
      </c>
      <c r="D43" s="26">
        <f t="shared" si="10"/>
        <v>199999.99999999991</v>
      </c>
      <c r="E43" s="26">
        <f t="shared" si="10"/>
        <v>2049999.9999999998</v>
      </c>
      <c r="F43" s="26">
        <f t="shared" si="2"/>
        <v>2747788.4615384606</v>
      </c>
      <c r="G43" s="26">
        <f t="shared" si="3"/>
        <v>0</v>
      </c>
      <c r="H43" s="26">
        <f t="shared" si="4"/>
        <v>0</v>
      </c>
      <c r="I43" s="26">
        <f t="shared" si="5"/>
        <v>-199999.99999999994</v>
      </c>
      <c r="J43" s="26">
        <f t="shared" si="6"/>
        <v>0</v>
      </c>
      <c r="K43" s="26">
        <f t="shared" si="7"/>
        <v>108062.34124256461</v>
      </c>
      <c r="L43" s="26">
        <f t="shared" si="8"/>
        <v>0</v>
      </c>
      <c r="M43" s="26">
        <f t="shared" si="9"/>
        <v>-199999.99999999994</v>
      </c>
      <c r="N43" s="25" t="s">
        <v>17</v>
      </c>
    </row>
    <row r="44" spans="1:16" x14ac:dyDescent="0.2">
      <c r="A44" s="198"/>
      <c r="C44" s="4" t="s">
        <v>13</v>
      </c>
      <c r="D44" s="26">
        <f t="shared" si="10"/>
        <v>199999.99999999991</v>
      </c>
      <c r="E44" s="26">
        <f t="shared" si="10"/>
        <v>2049999.9999999998</v>
      </c>
      <c r="F44" s="26">
        <f t="shared" si="2"/>
        <v>2747788.4615384606</v>
      </c>
      <c r="G44" s="26">
        <f t="shared" si="3"/>
        <v>0</v>
      </c>
      <c r="H44" s="26">
        <f t="shared" si="4"/>
        <v>0</v>
      </c>
      <c r="I44" s="26">
        <f t="shared" si="5"/>
        <v>-199999.99999999994</v>
      </c>
      <c r="J44" s="26">
        <f t="shared" si="6"/>
        <v>0</v>
      </c>
      <c r="K44" s="26">
        <f t="shared" si="7"/>
        <v>108062.34124256461</v>
      </c>
      <c r="L44" s="26">
        <f t="shared" si="8"/>
        <v>0</v>
      </c>
      <c r="M44" s="26">
        <f t="shared" si="9"/>
        <v>-199999.99999999994</v>
      </c>
      <c r="N44" s="25" t="s">
        <v>17</v>
      </c>
    </row>
    <row r="45" spans="1:16" x14ac:dyDescent="0.2">
      <c r="A45" s="199"/>
      <c r="C45" s="40" t="s">
        <v>14</v>
      </c>
      <c r="D45" s="26">
        <f t="shared" si="10"/>
        <v>199999.99999999991</v>
      </c>
      <c r="E45" s="26">
        <f t="shared" si="10"/>
        <v>2049999.9999999998</v>
      </c>
      <c r="F45" s="26">
        <f t="shared" si="2"/>
        <v>2747788.4615384606</v>
      </c>
      <c r="G45" s="26">
        <f t="shared" si="3"/>
        <v>0</v>
      </c>
      <c r="H45" s="26">
        <f t="shared" si="4"/>
        <v>0</v>
      </c>
      <c r="I45" s="26">
        <f t="shared" si="5"/>
        <v>-199999.99999999994</v>
      </c>
      <c r="J45" s="26">
        <f t="shared" si="6"/>
        <v>0</v>
      </c>
      <c r="K45" s="26">
        <f t="shared" si="7"/>
        <v>108062.34124256461</v>
      </c>
      <c r="L45" s="26">
        <f t="shared" si="8"/>
        <v>0</v>
      </c>
      <c r="M45" s="26">
        <f t="shared" si="9"/>
        <v>-199999.99999999994</v>
      </c>
      <c r="N45" s="42" t="s">
        <v>17</v>
      </c>
      <c r="P45" t="s">
        <v>23</v>
      </c>
    </row>
    <row r="46" spans="1:16" ht="13.5" thickBot="1" x14ac:dyDescent="0.25">
      <c r="C46" s="7" t="s">
        <v>16</v>
      </c>
      <c r="D46" s="38">
        <f>SUM(D39:D45)</f>
        <v>1399999.9999999995</v>
      </c>
      <c r="E46" s="38">
        <f>SUM(E34:E45)</f>
        <v>24599999.999999996</v>
      </c>
      <c r="F46" s="38">
        <f t="shared" ref="F46:N46" si="11">SUM(F34:F45)</f>
        <v>32973461.538461525</v>
      </c>
      <c r="G46" s="38">
        <f t="shared" si="11"/>
        <v>323067.18749999994</v>
      </c>
      <c r="H46" s="38">
        <f t="shared" si="11"/>
        <v>0</v>
      </c>
      <c r="I46" s="38">
        <f t="shared" si="11"/>
        <v>-2399999.9999999995</v>
      </c>
      <c r="J46" s="38">
        <f t="shared" si="11"/>
        <v>0</v>
      </c>
      <c r="K46" s="38">
        <f t="shared" si="11"/>
        <v>1296748.0949107753</v>
      </c>
      <c r="L46" s="38">
        <f t="shared" si="11"/>
        <v>0</v>
      </c>
      <c r="M46" s="38">
        <f t="shared" si="11"/>
        <v>-2399999.9999999995</v>
      </c>
      <c r="N46" s="39">
        <f t="shared" si="11"/>
        <v>-1199999.9999999998</v>
      </c>
      <c r="P46" s="3">
        <f>SUM(D46:N46)</f>
        <v>54593276.820872299</v>
      </c>
    </row>
    <row r="53" spans="1:1" x14ac:dyDescent="0.2">
      <c r="A53" t="s">
        <v>64</v>
      </c>
    </row>
    <row r="54" spans="1:1" x14ac:dyDescent="0.2">
      <c r="A54" t="s">
        <v>65</v>
      </c>
    </row>
    <row r="55" spans="1:1" x14ac:dyDescent="0.2">
      <c r="A55" t="s">
        <v>66</v>
      </c>
    </row>
    <row r="56" spans="1:1" x14ac:dyDescent="0.2">
      <c r="A56" t="s">
        <v>67</v>
      </c>
    </row>
    <row r="57" spans="1:1" x14ac:dyDescent="0.2">
      <c r="A57" t="s">
        <v>68</v>
      </c>
    </row>
    <row r="58" spans="1:1" x14ac:dyDescent="0.2">
      <c r="A58" t="s">
        <v>69</v>
      </c>
    </row>
    <row r="62" spans="1:1" x14ac:dyDescent="0.2">
      <c r="A62" t="s">
        <v>70</v>
      </c>
    </row>
    <row r="65" spans="1:4" ht="204" x14ac:dyDescent="0.2">
      <c r="A65" s="90" t="s">
        <v>71</v>
      </c>
      <c r="D65" t="s">
        <v>73</v>
      </c>
    </row>
    <row r="67" spans="1:4" ht="127.5" x14ac:dyDescent="0.2">
      <c r="A67" s="90" t="s">
        <v>72</v>
      </c>
    </row>
  </sheetData>
  <mergeCells count="5">
    <mergeCell ref="C14:N14"/>
    <mergeCell ref="Q14:AB14"/>
    <mergeCell ref="A15:A28"/>
    <mergeCell ref="C31:N31"/>
    <mergeCell ref="A33:A45"/>
  </mergeCells>
  <conditionalFormatting sqref="D34:N45">
    <cfRule type="cellIs" dxfId="3" priority="3" operator="greaterThan">
      <formula>0</formula>
    </cfRule>
    <cfRule type="cellIs" dxfId="2" priority="4" operator="lessThan">
      <formula>0</formula>
    </cfRule>
  </conditionalFormatting>
  <conditionalFormatting sqref="D46:N46">
    <cfRule type="cellIs" dxfId="1" priority="1" operator="greaterThan">
      <formula>0</formula>
    </cfRule>
    <cfRule type="cellIs" dxfId="0" priority="2" operator="lessThan">
      <formula>0</formula>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M22"/>
  <sheetViews>
    <sheetView zoomScale="85" zoomScaleNormal="85" workbookViewId="0">
      <selection activeCell="D6" sqref="D6"/>
    </sheetView>
  </sheetViews>
  <sheetFormatPr defaultColWidth="8.85546875" defaultRowHeight="12.75" x14ac:dyDescent="0.2"/>
  <cols>
    <col min="1" max="1" width="12.42578125" customWidth="1"/>
  </cols>
  <sheetData>
    <row r="2" spans="1:12" x14ac:dyDescent="0.2">
      <c r="A2" s="21" t="s">
        <v>19</v>
      </c>
    </row>
    <row r="4" spans="1:12" x14ac:dyDescent="0.2">
      <c r="B4" s="13">
        <v>2019</v>
      </c>
      <c r="C4" s="13">
        <v>2020</v>
      </c>
      <c r="D4" s="13">
        <v>2021</v>
      </c>
      <c r="E4" s="13">
        <v>2022</v>
      </c>
      <c r="F4" s="13">
        <v>2023</v>
      </c>
      <c r="G4" s="13">
        <v>2024</v>
      </c>
      <c r="H4" s="13">
        <v>2025</v>
      </c>
      <c r="I4" s="13">
        <v>2026</v>
      </c>
      <c r="J4" s="13">
        <v>2027</v>
      </c>
      <c r="K4" s="13">
        <v>2028</v>
      </c>
      <c r="L4" s="14">
        <v>2029</v>
      </c>
    </row>
    <row r="5" spans="1:12" x14ac:dyDescent="0.2">
      <c r="B5" s="15">
        <v>1</v>
      </c>
      <c r="C5" s="15">
        <v>1.0249999999999999</v>
      </c>
      <c r="D5" s="15">
        <v>1.0249999999999999</v>
      </c>
      <c r="E5" s="15">
        <v>1.0249999999999999</v>
      </c>
      <c r="F5" s="15">
        <v>1.0249999999999999</v>
      </c>
      <c r="G5" s="15">
        <v>1.0249999999999999</v>
      </c>
      <c r="H5" s="15">
        <v>1.0249999999999999</v>
      </c>
      <c r="I5" s="15">
        <v>1.0249999999999999</v>
      </c>
      <c r="J5" s="15">
        <v>1.0249999999999999</v>
      </c>
      <c r="K5" s="15">
        <v>1.0249999999999999</v>
      </c>
      <c r="L5" s="15">
        <v>1.0249999999999999</v>
      </c>
    </row>
    <row r="6" spans="1:12" x14ac:dyDescent="0.2">
      <c r="A6" t="s">
        <v>21</v>
      </c>
      <c r="B6" s="15">
        <f>B5</f>
        <v>1</v>
      </c>
      <c r="C6" s="15">
        <f>B6*C5</f>
        <v>1.0249999999999999</v>
      </c>
      <c r="D6" s="15">
        <f t="shared" ref="D6:L6" si="0">C6*D5</f>
        <v>1.0506249999999999</v>
      </c>
      <c r="E6" s="15">
        <f t="shared" si="0"/>
        <v>1.0768906249999999</v>
      </c>
      <c r="F6" s="15">
        <f t="shared" si="0"/>
        <v>1.1038128906249998</v>
      </c>
      <c r="G6" s="15">
        <f t="shared" si="0"/>
        <v>1.1314082128906247</v>
      </c>
      <c r="H6" s="15">
        <f t="shared" si="0"/>
        <v>1.1596934182128902</v>
      </c>
      <c r="I6" s="15">
        <f t="shared" si="0"/>
        <v>1.1886857536682123</v>
      </c>
      <c r="J6" s="15">
        <f t="shared" si="0"/>
        <v>1.2184028975099175</v>
      </c>
      <c r="K6" s="15">
        <f t="shared" si="0"/>
        <v>1.2488629699476652</v>
      </c>
      <c r="L6" s="15">
        <f t="shared" si="0"/>
        <v>1.2800845441963566</v>
      </c>
    </row>
    <row r="11" spans="1:12" x14ac:dyDescent="0.2">
      <c r="A11" t="s">
        <v>20</v>
      </c>
    </row>
    <row r="13" spans="1:12" x14ac:dyDescent="0.2">
      <c r="B13" s="13">
        <v>2019</v>
      </c>
      <c r="C13" s="13">
        <v>2020</v>
      </c>
      <c r="D13" s="13">
        <v>2021</v>
      </c>
      <c r="E13" s="13">
        <v>2022</v>
      </c>
      <c r="F13" s="13">
        <v>2023</v>
      </c>
      <c r="G13" s="13">
        <v>2024</v>
      </c>
      <c r="H13" s="13">
        <v>2025</v>
      </c>
      <c r="I13" s="13">
        <v>2026</v>
      </c>
      <c r="J13" s="13">
        <v>2027</v>
      </c>
      <c r="K13" s="13">
        <v>2028</v>
      </c>
      <c r="L13" s="14">
        <v>2029</v>
      </c>
    </row>
    <row r="14" spans="1:12" x14ac:dyDescent="0.2">
      <c r="B14" s="22">
        <v>1</v>
      </c>
      <c r="C14" s="22">
        <f>B14*C5</f>
        <v>1.0249999999999999</v>
      </c>
      <c r="D14" s="22">
        <f t="shared" ref="D14:L14" si="1">C14*D5</f>
        <v>1.0506249999999999</v>
      </c>
      <c r="E14" s="22">
        <f t="shared" si="1"/>
        <v>1.0768906249999999</v>
      </c>
      <c r="F14" s="22">
        <f t="shared" si="1"/>
        <v>1.1038128906249998</v>
      </c>
      <c r="G14" s="22">
        <f t="shared" si="1"/>
        <v>1.1314082128906247</v>
      </c>
      <c r="H14" s="22">
        <f t="shared" si="1"/>
        <v>1.1596934182128902</v>
      </c>
      <c r="I14" s="22">
        <f t="shared" si="1"/>
        <v>1.1886857536682123</v>
      </c>
      <c r="J14" s="22">
        <f t="shared" si="1"/>
        <v>1.2184028975099175</v>
      </c>
      <c r="K14" s="22">
        <f t="shared" si="1"/>
        <v>1.2488629699476652</v>
      </c>
      <c r="L14" s="22">
        <f t="shared" si="1"/>
        <v>1.2800845441963566</v>
      </c>
    </row>
    <row r="19" spans="1:13" x14ac:dyDescent="0.2">
      <c r="A19" t="s">
        <v>25</v>
      </c>
    </row>
    <row r="21" spans="1:13" x14ac:dyDescent="0.2">
      <c r="A21" t="s">
        <v>26</v>
      </c>
      <c r="B21" t="s">
        <v>27</v>
      </c>
      <c r="C21" s="13">
        <v>2019</v>
      </c>
      <c r="D21" s="13">
        <v>2020</v>
      </c>
      <c r="E21" s="13">
        <v>2021</v>
      </c>
      <c r="F21" s="13">
        <v>2022</v>
      </c>
      <c r="G21" s="13">
        <v>2023</v>
      </c>
      <c r="H21" s="13">
        <v>2024</v>
      </c>
      <c r="I21" s="13">
        <v>2025</v>
      </c>
      <c r="J21" s="13">
        <v>2026</v>
      </c>
      <c r="K21" s="13">
        <v>2027</v>
      </c>
      <c r="L21" s="13">
        <v>2028</v>
      </c>
      <c r="M21" s="14">
        <v>2029</v>
      </c>
    </row>
    <row r="22" spans="1:13" x14ac:dyDescent="0.2">
      <c r="A22" s="22">
        <v>0</v>
      </c>
      <c r="B22" s="22">
        <v>0.1</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D4"/>
  <sheetViews>
    <sheetView workbookViewId="0">
      <selection activeCell="I37" sqref="I37"/>
    </sheetView>
  </sheetViews>
  <sheetFormatPr defaultColWidth="8.85546875" defaultRowHeight="12.75" x14ac:dyDescent="0.2"/>
  <cols>
    <col min="1" max="1" width="27.28515625" bestFit="1" customWidth="1"/>
  </cols>
  <sheetData>
    <row r="1" spans="1:4" x14ac:dyDescent="0.2">
      <c r="B1">
        <v>2015</v>
      </c>
      <c r="C1">
        <v>2016</v>
      </c>
      <c r="D1" t="s">
        <v>47</v>
      </c>
    </row>
    <row r="2" spans="1:4" x14ac:dyDescent="0.2">
      <c r="A2" t="s">
        <v>45</v>
      </c>
      <c r="B2">
        <v>376455</v>
      </c>
      <c r="C2">
        <v>412781</v>
      </c>
      <c r="D2">
        <v>186176</v>
      </c>
    </row>
    <row r="3" spans="1:4" x14ac:dyDescent="0.2">
      <c r="A3" t="s">
        <v>46</v>
      </c>
      <c r="B3">
        <v>352316</v>
      </c>
      <c r="C3">
        <v>386128</v>
      </c>
      <c r="D3">
        <v>171377</v>
      </c>
    </row>
    <row r="4" spans="1:4" x14ac:dyDescent="0.2">
      <c r="B4" s="1">
        <f>B3/B2</f>
        <v>0.93587812620366317</v>
      </c>
      <c r="C4" s="1">
        <f t="shared" ref="C4:D4" si="0">C3/C2</f>
        <v>0.93543065208912235</v>
      </c>
      <c r="D4" s="1">
        <f t="shared" si="0"/>
        <v>0.92051069955311104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D6"/>
  <sheetViews>
    <sheetView workbookViewId="0">
      <selection activeCell="G41" sqref="G41"/>
    </sheetView>
  </sheetViews>
  <sheetFormatPr defaultColWidth="9.140625" defaultRowHeight="12.75" x14ac:dyDescent="0.2"/>
  <cols>
    <col min="1" max="4" width="23.42578125" style="86" customWidth="1"/>
    <col min="5" max="16384" width="9.140625" style="86"/>
  </cols>
  <sheetData>
    <row r="1" spans="1:4" ht="14.25" x14ac:dyDescent="0.2">
      <c r="A1" s="89" t="s">
        <v>61</v>
      </c>
      <c r="B1" s="89" t="s">
        <v>60</v>
      </c>
      <c r="C1" s="89" t="s">
        <v>59</v>
      </c>
      <c r="D1" s="89" t="s">
        <v>58</v>
      </c>
    </row>
    <row r="2" spans="1:4" ht="14.25" x14ac:dyDescent="0.2">
      <c r="A2" s="87" t="s">
        <v>57</v>
      </c>
      <c r="B2" s="87" t="s">
        <v>49</v>
      </c>
      <c r="C2" s="88">
        <v>0.96458943937538388</v>
      </c>
      <c r="D2" s="87" t="s">
        <v>56</v>
      </c>
    </row>
    <row r="3" spans="1:4" ht="14.25" x14ac:dyDescent="0.2">
      <c r="A3" s="87" t="s">
        <v>55</v>
      </c>
      <c r="B3" s="87" t="s">
        <v>49</v>
      </c>
      <c r="C3" s="88">
        <v>0.96900594357287051</v>
      </c>
      <c r="D3" s="87" t="s">
        <v>54</v>
      </c>
    </row>
    <row r="4" spans="1:4" ht="14.25" x14ac:dyDescent="0.2">
      <c r="A4" s="87" t="s">
        <v>53</v>
      </c>
      <c r="B4" s="87" t="s">
        <v>49</v>
      </c>
      <c r="C4" s="88">
        <v>0.98081705204422565</v>
      </c>
      <c r="D4" s="87" t="s">
        <v>52</v>
      </c>
    </row>
    <row r="5" spans="1:4" ht="14.25" x14ac:dyDescent="0.2">
      <c r="A5" s="87" t="s">
        <v>51</v>
      </c>
      <c r="B5" s="87" t="s">
        <v>49</v>
      </c>
      <c r="C5" s="88">
        <v>0.98136538716563237</v>
      </c>
      <c r="D5" s="87" t="s">
        <v>50</v>
      </c>
    </row>
    <row r="6" spans="1:4" ht="14.25" x14ac:dyDescent="0.2">
      <c r="A6" s="87" t="s">
        <v>47</v>
      </c>
      <c r="B6" s="87" t="s">
        <v>49</v>
      </c>
      <c r="C6" s="88">
        <v>0.98679995607159809</v>
      </c>
      <c r="D6" s="87" t="s">
        <v>48</v>
      </c>
    </row>
  </sheetData>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38"/>
  <sheetViews>
    <sheetView zoomScale="85" zoomScaleNormal="85" workbookViewId="0">
      <selection activeCell="I23" sqref="I23"/>
    </sheetView>
  </sheetViews>
  <sheetFormatPr defaultColWidth="8.85546875" defaultRowHeight="12.75" x14ac:dyDescent="0.2"/>
  <cols>
    <col min="1" max="1" width="12.42578125" customWidth="1"/>
    <col min="2" max="12" width="16.140625" bestFit="1" customWidth="1"/>
    <col min="13" max="13" width="14.5703125" bestFit="1" customWidth="1"/>
  </cols>
  <sheetData>
    <row r="1" spans="1:13" x14ac:dyDescent="0.2">
      <c r="B1">
        <v>2019</v>
      </c>
      <c r="C1">
        <v>2020</v>
      </c>
      <c r="D1">
        <v>2021</v>
      </c>
      <c r="E1">
        <v>2022</v>
      </c>
      <c r="F1">
        <v>2023</v>
      </c>
      <c r="G1">
        <v>2024</v>
      </c>
      <c r="H1">
        <v>2025</v>
      </c>
      <c r="I1">
        <v>2026</v>
      </c>
      <c r="J1">
        <v>2027</v>
      </c>
      <c r="K1">
        <v>2028</v>
      </c>
      <c r="L1">
        <v>2029</v>
      </c>
    </row>
    <row r="2" spans="1:13" x14ac:dyDescent="0.2">
      <c r="A2" t="s">
        <v>62</v>
      </c>
      <c r="B2" s="2">
        <v>12000000</v>
      </c>
      <c r="C2" s="2">
        <v>12299999.999999998</v>
      </c>
      <c r="D2" s="2">
        <v>12607499.999999998</v>
      </c>
      <c r="E2" s="2">
        <v>12922687.499999998</v>
      </c>
      <c r="F2" s="2">
        <v>13245754.687499996</v>
      </c>
      <c r="G2" s="2">
        <v>13576898.554687496</v>
      </c>
      <c r="H2" s="2">
        <v>13916321.018554682</v>
      </c>
      <c r="I2" s="2">
        <v>14264229.044018548</v>
      </c>
      <c r="J2" s="2">
        <v>14620834.77011901</v>
      </c>
      <c r="K2" s="2">
        <v>14986355.639371982</v>
      </c>
      <c r="L2" s="2">
        <v>15361014.530356281</v>
      </c>
      <c r="M2" s="3">
        <f>SUM(B2:L2)</f>
        <v>149801595.74460801</v>
      </c>
    </row>
    <row r="3" spans="1:13" x14ac:dyDescent="0.2">
      <c r="A3" t="s">
        <v>63</v>
      </c>
      <c r="B3" s="2">
        <v>12000000</v>
      </c>
      <c r="C3" s="2">
        <v>12299999.999999998</v>
      </c>
      <c r="D3" s="2">
        <v>12607499.999999998</v>
      </c>
      <c r="E3" s="2">
        <v>12922687.499999998</v>
      </c>
      <c r="F3" s="2"/>
      <c r="G3" s="2"/>
      <c r="H3" s="2"/>
      <c r="I3" s="2"/>
      <c r="J3" s="2"/>
      <c r="K3" s="2"/>
      <c r="L3" s="2"/>
      <c r="M3" s="3">
        <f>SUM(B3:L3)</f>
        <v>49830187.5</v>
      </c>
    </row>
    <row r="4" spans="1:13" x14ac:dyDescent="0.2">
      <c r="M4" s="3">
        <f>SUM(M2:M3)</f>
        <v>199631783.24460801</v>
      </c>
    </row>
    <row r="32" spans="1:12" x14ac:dyDescent="0.2">
      <c r="A32" s="22">
        <v>0.1</v>
      </c>
      <c r="B32" s="94">
        <v>200000000</v>
      </c>
      <c r="C32" s="95">
        <f>B32*$A$33</f>
        <v>204999999.99999997</v>
      </c>
      <c r="D32" s="95">
        <f t="shared" ref="D32:L32" si="0">C32*$A$33</f>
        <v>210124999.99999994</v>
      </c>
      <c r="E32" s="95">
        <f t="shared" si="0"/>
        <v>215378124.99999991</v>
      </c>
      <c r="F32" s="95">
        <f t="shared" si="0"/>
        <v>220762578.12499988</v>
      </c>
      <c r="G32" s="95">
        <f t="shared" si="0"/>
        <v>226281642.57812485</v>
      </c>
      <c r="H32" s="95">
        <f t="shared" si="0"/>
        <v>231938683.64257795</v>
      </c>
      <c r="I32" s="95">
        <f t="shared" si="0"/>
        <v>237737150.73364237</v>
      </c>
      <c r="J32" s="95">
        <f t="shared" si="0"/>
        <v>243680579.5019834</v>
      </c>
      <c r="K32" s="95">
        <f t="shared" si="0"/>
        <v>249772593.98953298</v>
      </c>
      <c r="L32" s="95">
        <f t="shared" si="0"/>
        <v>256016908.83927128</v>
      </c>
    </row>
    <row r="33" spans="1:12" x14ac:dyDescent="0.2">
      <c r="A33" s="15">
        <v>1.0249999999999999</v>
      </c>
    </row>
    <row r="35" spans="1:12" x14ac:dyDescent="0.2">
      <c r="B35">
        <v>2019</v>
      </c>
      <c r="C35">
        <v>2020</v>
      </c>
      <c r="D35">
        <v>2021</v>
      </c>
      <c r="E35">
        <v>2022</v>
      </c>
      <c r="F35">
        <v>2023</v>
      </c>
      <c r="G35">
        <v>2024</v>
      </c>
      <c r="H35">
        <v>2025</v>
      </c>
      <c r="I35">
        <v>2026</v>
      </c>
      <c r="J35">
        <v>2027</v>
      </c>
      <c r="K35">
        <v>2028</v>
      </c>
      <c r="L35">
        <v>2029</v>
      </c>
    </row>
    <row r="36" spans="1:12" x14ac:dyDescent="0.2">
      <c r="A36" t="s">
        <v>75</v>
      </c>
      <c r="B36" s="2">
        <f>B32*$A$32</f>
        <v>20000000</v>
      </c>
      <c r="C36" s="2">
        <f>C32*$A$32</f>
        <v>20500000</v>
      </c>
      <c r="D36" s="2">
        <f t="shared" ref="D36:L36" si="1">D32*$A$32</f>
        <v>21012499.999999996</v>
      </c>
      <c r="E36" s="2">
        <f t="shared" si="1"/>
        <v>21537812.499999993</v>
      </c>
      <c r="F36" s="2">
        <f t="shared" si="1"/>
        <v>22076257.812499989</v>
      </c>
      <c r="G36" s="2">
        <f t="shared" si="1"/>
        <v>22628164.257812485</v>
      </c>
      <c r="H36" s="2">
        <f t="shared" si="1"/>
        <v>23193868.364257798</v>
      </c>
      <c r="I36" s="2">
        <f t="shared" si="1"/>
        <v>23773715.073364239</v>
      </c>
      <c r="J36" s="2">
        <f t="shared" si="1"/>
        <v>24368057.950198341</v>
      </c>
      <c r="K36" s="2">
        <f t="shared" si="1"/>
        <v>24977259.3989533</v>
      </c>
      <c r="L36" s="2">
        <f t="shared" si="1"/>
        <v>25601690.883927129</v>
      </c>
    </row>
    <row r="37" spans="1:12" x14ac:dyDescent="0.2">
      <c r="A37" t="s">
        <v>76</v>
      </c>
      <c r="B37" s="2">
        <v>12000000</v>
      </c>
      <c r="C37" s="2">
        <v>12299999.999999998</v>
      </c>
      <c r="D37" s="2">
        <v>12607499.999999998</v>
      </c>
      <c r="E37" s="2">
        <v>12922687.499999998</v>
      </c>
      <c r="F37" s="2">
        <v>13245754.687499996</v>
      </c>
      <c r="G37" s="2">
        <v>13576898.554687496</v>
      </c>
      <c r="H37" s="2">
        <v>13916321.018554682</v>
      </c>
      <c r="I37" s="2">
        <v>14264229.044018548</v>
      </c>
      <c r="J37" s="2">
        <v>14620834.77011901</v>
      </c>
      <c r="K37" s="2">
        <v>14986355.639371982</v>
      </c>
      <c r="L37" s="2">
        <v>15361014.530356281</v>
      </c>
    </row>
    <row r="38" spans="1:12" x14ac:dyDescent="0.2">
      <c r="A38" t="s">
        <v>63</v>
      </c>
      <c r="B38" s="2">
        <v>12000000</v>
      </c>
      <c r="C38" s="2">
        <v>12299999.999999998</v>
      </c>
      <c r="D38" s="2">
        <v>12607499.999999998</v>
      </c>
      <c r="E38" s="2">
        <v>12922687.499999998</v>
      </c>
      <c r="F38" s="2"/>
      <c r="G38" s="2"/>
      <c r="H38" s="2"/>
      <c r="I38" s="2"/>
      <c r="J38" s="2"/>
      <c r="K38" s="2"/>
      <c r="L38" s="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Q43"/>
  <sheetViews>
    <sheetView zoomScale="85" zoomScaleNormal="85" workbookViewId="0">
      <selection activeCell="Q43" sqref="Q43"/>
    </sheetView>
  </sheetViews>
  <sheetFormatPr defaultColWidth="8.85546875" defaultRowHeight="12.75" x14ac:dyDescent="0.2"/>
  <cols>
    <col min="1" max="1" width="12.42578125" customWidth="1"/>
    <col min="2" max="12" width="16.140625" customWidth="1"/>
    <col min="13" max="13" width="14.5703125" customWidth="1"/>
  </cols>
  <sheetData>
    <row r="1" spans="1:13" x14ac:dyDescent="0.2">
      <c r="B1">
        <v>2019</v>
      </c>
      <c r="C1">
        <v>2020</v>
      </c>
      <c r="D1">
        <v>2021</v>
      </c>
      <c r="E1">
        <v>2022</v>
      </c>
      <c r="F1">
        <v>2023</v>
      </c>
      <c r="G1">
        <v>2024</v>
      </c>
      <c r="H1">
        <v>2025</v>
      </c>
      <c r="I1">
        <v>2026</v>
      </c>
      <c r="J1">
        <v>2027</v>
      </c>
      <c r="K1">
        <v>2028</v>
      </c>
      <c r="L1">
        <v>2029</v>
      </c>
    </row>
    <row r="2" spans="1:13" x14ac:dyDescent="0.2">
      <c r="A2" t="s">
        <v>62</v>
      </c>
      <c r="B2" s="2">
        <v>12000000</v>
      </c>
      <c r="C2" s="2">
        <v>12299999.999999998</v>
      </c>
      <c r="D2" s="2">
        <v>12607499.999999998</v>
      </c>
      <c r="E2" s="2">
        <v>12922687.499999998</v>
      </c>
      <c r="F2" s="2">
        <v>13245754.687499996</v>
      </c>
      <c r="G2" s="2">
        <v>13576898.554687496</v>
      </c>
      <c r="H2" s="2">
        <v>13916321.018554682</v>
      </c>
      <c r="I2" s="2">
        <v>14264229.044018548</v>
      </c>
      <c r="J2" s="2">
        <v>14620834.77011901</v>
      </c>
      <c r="K2" s="2">
        <v>14986355.639371982</v>
      </c>
      <c r="L2" s="2">
        <v>15361014.530356281</v>
      </c>
      <c r="M2" s="3">
        <f>SUM(B2:L2)</f>
        <v>149801595.74460801</v>
      </c>
    </row>
    <row r="3" spans="1:13" x14ac:dyDescent="0.2">
      <c r="A3" t="s">
        <v>63</v>
      </c>
      <c r="B3" s="2">
        <v>12000000</v>
      </c>
      <c r="C3" s="2">
        <v>12299999.999999998</v>
      </c>
      <c r="D3" s="2">
        <v>12607499.999999998</v>
      </c>
      <c r="E3" s="2">
        <v>12922687.499999998</v>
      </c>
      <c r="F3" s="2"/>
      <c r="G3" s="2"/>
      <c r="H3" s="2"/>
      <c r="I3" s="2"/>
      <c r="J3" s="2"/>
      <c r="K3" s="2"/>
      <c r="L3" s="2"/>
      <c r="M3" s="3">
        <f>SUM(B3:L3)</f>
        <v>49830187.5</v>
      </c>
    </row>
    <row r="4" spans="1:13" x14ac:dyDescent="0.2">
      <c r="M4" s="3">
        <f>SUM(M2:M3)</f>
        <v>199631783.24460801</v>
      </c>
    </row>
    <row r="32" spans="1:12" x14ac:dyDescent="0.2">
      <c r="A32" s="22">
        <v>0.1</v>
      </c>
      <c r="B32" s="94">
        <v>200000000</v>
      </c>
      <c r="C32" s="95">
        <f>B32*$A$33</f>
        <v>204999999.99999997</v>
      </c>
      <c r="D32" s="95">
        <f t="shared" ref="D32:L32" si="0">C32*$A$33</f>
        <v>210124999.99999994</v>
      </c>
      <c r="E32" s="95">
        <f t="shared" si="0"/>
        <v>215378124.99999991</v>
      </c>
      <c r="F32" s="95">
        <f t="shared" si="0"/>
        <v>220762578.12499988</v>
      </c>
      <c r="G32" s="95">
        <f t="shared" si="0"/>
        <v>226281642.57812485</v>
      </c>
      <c r="H32" s="95">
        <f t="shared" si="0"/>
        <v>231938683.64257795</v>
      </c>
      <c r="I32" s="95">
        <f t="shared" si="0"/>
        <v>237737150.73364237</v>
      </c>
      <c r="J32" s="95">
        <f t="shared" si="0"/>
        <v>243680579.5019834</v>
      </c>
      <c r="K32" s="95">
        <f t="shared" si="0"/>
        <v>249772593.98953298</v>
      </c>
      <c r="L32" s="95">
        <f t="shared" si="0"/>
        <v>256016908.83927128</v>
      </c>
    </row>
    <row r="33" spans="1:17" x14ac:dyDescent="0.2">
      <c r="A33" s="15">
        <v>1.0249999999999999</v>
      </c>
      <c r="B33" s="96">
        <v>9.9999999999999978E-2</v>
      </c>
      <c r="C33" s="96">
        <v>9.799999999999999E-2</v>
      </c>
      <c r="D33" s="96">
        <v>9.5999999999999988E-2</v>
      </c>
      <c r="E33" s="96">
        <v>9.3999999999999986E-2</v>
      </c>
      <c r="F33" s="96">
        <v>9.1999999999999998E-2</v>
      </c>
      <c r="G33" s="96">
        <v>0.09</v>
      </c>
      <c r="H33" s="96">
        <v>8.7999999999999995E-2</v>
      </c>
      <c r="I33" s="96">
        <v>8.5999999999999993E-2</v>
      </c>
      <c r="J33" s="96">
        <v>8.4000000000000005E-2</v>
      </c>
      <c r="K33" s="96">
        <v>8.2000000000000003E-2</v>
      </c>
      <c r="L33" s="96">
        <v>8.0000000000000016E-2</v>
      </c>
    </row>
    <row r="34" spans="1:17" x14ac:dyDescent="0.2">
      <c r="A34" s="97">
        <v>1.0249999999999999</v>
      </c>
    </row>
    <row r="35" spans="1:17" x14ac:dyDescent="0.2">
      <c r="B35">
        <v>2019</v>
      </c>
      <c r="C35">
        <v>2020</v>
      </c>
      <c r="D35">
        <v>2021</v>
      </c>
      <c r="E35">
        <v>2022</v>
      </c>
      <c r="F35">
        <v>2023</v>
      </c>
      <c r="G35">
        <v>2024</v>
      </c>
      <c r="H35">
        <v>2025</v>
      </c>
      <c r="I35">
        <v>2026</v>
      </c>
      <c r="J35">
        <v>2027</v>
      </c>
      <c r="K35">
        <v>2028</v>
      </c>
      <c r="L35">
        <v>2029</v>
      </c>
    </row>
    <row r="36" spans="1:17" x14ac:dyDescent="0.2">
      <c r="A36" t="s">
        <v>75</v>
      </c>
      <c r="B36" s="2">
        <f>B32*B33</f>
        <v>19999999.999999996</v>
      </c>
      <c r="C36" s="2">
        <f t="shared" ref="C36:L36" si="1">C32*C33</f>
        <v>20089999.999999996</v>
      </c>
      <c r="D36" s="2">
        <f t="shared" si="1"/>
        <v>20171999.999999993</v>
      </c>
      <c r="E36" s="2">
        <f t="shared" si="1"/>
        <v>20245543.749999989</v>
      </c>
      <c r="F36" s="2">
        <f t="shared" si="1"/>
        <v>20310157.187499989</v>
      </c>
      <c r="G36" s="2">
        <f t="shared" si="1"/>
        <v>20365347.832031235</v>
      </c>
      <c r="H36" s="2">
        <f t="shared" si="1"/>
        <v>20410604.160546858</v>
      </c>
      <c r="I36" s="2">
        <f t="shared" si="1"/>
        <v>20445394.963093244</v>
      </c>
      <c r="J36" s="2">
        <f t="shared" si="1"/>
        <v>20469168.678166606</v>
      </c>
      <c r="K36" s="2">
        <f t="shared" si="1"/>
        <v>20481352.707141705</v>
      </c>
      <c r="L36" s="2">
        <f t="shared" si="1"/>
        <v>20481352.707141705</v>
      </c>
    </row>
    <row r="37" spans="1:17" x14ac:dyDescent="0.2">
      <c r="A37" t="s">
        <v>76</v>
      </c>
      <c r="B37" s="2">
        <v>12000000</v>
      </c>
      <c r="C37" s="2">
        <f>B37*$A$34</f>
        <v>12299999.999999998</v>
      </c>
      <c r="D37" s="2">
        <f t="shared" ref="D37:L37" si="2">C37*$A$34</f>
        <v>12607499.999999996</v>
      </c>
      <c r="E37" s="2">
        <f t="shared" si="2"/>
        <v>12922687.499999994</v>
      </c>
      <c r="F37" s="2">
        <f t="shared" si="2"/>
        <v>13245754.687499993</v>
      </c>
      <c r="G37" s="2">
        <f t="shared" si="2"/>
        <v>13576898.554687491</v>
      </c>
      <c r="H37" s="2">
        <f t="shared" si="2"/>
        <v>13916321.018554676</v>
      </c>
      <c r="I37" s="2">
        <f t="shared" si="2"/>
        <v>14264229.044018542</v>
      </c>
      <c r="J37" s="2">
        <f t="shared" si="2"/>
        <v>14620834.770119004</v>
      </c>
      <c r="K37" s="2">
        <f t="shared" si="2"/>
        <v>14986355.639371978</v>
      </c>
      <c r="L37" s="2">
        <f t="shared" si="2"/>
        <v>15361014.530356277</v>
      </c>
    </row>
    <row r="38" spans="1:17" x14ac:dyDescent="0.2">
      <c r="A38" t="s">
        <v>63</v>
      </c>
      <c r="B38" s="2">
        <v>12000000</v>
      </c>
      <c r="C38" s="2">
        <v>12299999.999999998</v>
      </c>
      <c r="D38" s="2">
        <v>12607499.999999998</v>
      </c>
      <c r="E38" s="2">
        <v>12922687.499999998</v>
      </c>
      <c r="F38" s="2"/>
      <c r="G38" s="2"/>
      <c r="H38" s="2"/>
      <c r="I38" s="2"/>
      <c r="J38" s="2"/>
      <c r="K38" s="2"/>
      <c r="L38" s="2"/>
    </row>
    <row r="40" spans="1:17" x14ac:dyDescent="0.2">
      <c r="A40" t="s">
        <v>79</v>
      </c>
      <c r="B40" s="3">
        <f>SUM(B36:B38)</f>
        <v>44000000</v>
      </c>
      <c r="C40" s="3">
        <f t="shared" ref="C40:L40" si="3">SUM(C36:C38)</f>
        <v>44689999.999999993</v>
      </c>
      <c r="D40" s="3">
        <f t="shared" si="3"/>
        <v>45386999.999999985</v>
      </c>
      <c r="E40" s="3">
        <f t="shared" si="3"/>
        <v>46090918.749999985</v>
      </c>
      <c r="F40" s="3">
        <f t="shared" si="3"/>
        <v>33555911.874999985</v>
      </c>
      <c r="G40" s="3">
        <f t="shared" si="3"/>
        <v>33942246.386718728</v>
      </c>
      <c r="H40" s="3">
        <f t="shared" si="3"/>
        <v>34326925.179101534</v>
      </c>
      <c r="I40" s="3">
        <f t="shared" si="3"/>
        <v>34709624.007111788</v>
      </c>
      <c r="J40" s="3">
        <f t="shared" si="3"/>
        <v>35090003.448285609</v>
      </c>
      <c r="K40" s="3">
        <f t="shared" si="3"/>
        <v>35467708.346513681</v>
      </c>
      <c r="L40" s="3">
        <f t="shared" si="3"/>
        <v>35842367.237497985</v>
      </c>
    </row>
    <row r="43" spans="1:17" x14ac:dyDescent="0.2">
      <c r="Q43" t="s">
        <v>80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L14"/>
  <sheetViews>
    <sheetView workbookViewId="0">
      <selection activeCell="D18" sqref="D18"/>
    </sheetView>
  </sheetViews>
  <sheetFormatPr defaultColWidth="8.85546875" defaultRowHeight="12.75" x14ac:dyDescent="0.2"/>
  <cols>
    <col min="1" max="1" width="12.42578125" customWidth="1"/>
  </cols>
  <sheetData>
    <row r="2" spans="1:12" x14ac:dyDescent="0.2">
      <c r="A2" s="21" t="s">
        <v>19</v>
      </c>
    </row>
    <row r="4" spans="1:12" x14ac:dyDescent="0.2">
      <c r="B4" s="13">
        <v>2019</v>
      </c>
      <c r="C4" s="13">
        <v>2020</v>
      </c>
      <c r="D4" s="13">
        <v>2021</v>
      </c>
      <c r="E4" s="13">
        <v>2022</v>
      </c>
      <c r="F4" s="13">
        <v>2023</v>
      </c>
      <c r="G4" s="13">
        <v>2024</v>
      </c>
      <c r="H4" s="13">
        <v>2025</v>
      </c>
      <c r="I4" s="13">
        <v>2026</v>
      </c>
      <c r="J4" s="13">
        <v>2027</v>
      </c>
      <c r="K4" s="13">
        <v>2028</v>
      </c>
      <c r="L4" s="14">
        <v>2029</v>
      </c>
    </row>
    <row r="5" spans="1:12" x14ac:dyDescent="0.2">
      <c r="B5" s="15">
        <v>1</v>
      </c>
      <c r="C5" s="15">
        <v>1.0249999999999999</v>
      </c>
      <c r="D5" s="15">
        <v>1.0249999999999999</v>
      </c>
      <c r="E5" s="15">
        <v>1.0249999999999999</v>
      </c>
      <c r="F5" s="15">
        <v>1.0249999999999999</v>
      </c>
      <c r="G5" s="15">
        <v>1.0249999999999999</v>
      </c>
      <c r="H5" s="15">
        <v>1.0249999999999999</v>
      </c>
      <c r="I5" s="15">
        <v>1.0249999999999999</v>
      </c>
      <c r="J5" s="15">
        <v>1.0249999999999999</v>
      </c>
      <c r="K5" s="15">
        <v>1.0249999999999999</v>
      </c>
      <c r="L5" s="15">
        <v>1.0249999999999999</v>
      </c>
    </row>
    <row r="6" spans="1:12" x14ac:dyDescent="0.2">
      <c r="A6" t="s">
        <v>21</v>
      </c>
      <c r="B6" s="15">
        <f>B5</f>
        <v>1</v>
      </c>
      <c r="C6" s="15">
        <f>B6*C5</f>
        <v>1.0249999999999999</v>
      </c>
      <c r="D6" s="15">
        <f t="shared" ref="D6:L6" si="0">C6*D5</f>
        <v>1.0506249999999999</v>
      </c>
      <c r="E6" s="15">
        <f t="shared" si="0"/>
        <v>1.0768906249999999</v>
      </c>
      <c r="F6" s="15">
        <f t="shared" si="0"/>
        <v>1.1038128906249998</v>
      </c>
      <c r="G6" s="15">
        <f t="shared" si="0"/>
        <v>1.1314082128906247</v>
      </c>
      <c r="H6" s="15">
        <f t="shared" si="0"/>
        <v>1.1596934182128902</v>
      </c>
      <c r="I6" s="15">
        <f t="shared" si="0"/>
        <v>1.1886857536682123</v>
      </c>
      <c r="J6" s="15">
        <f t="shared" si="0"/>
        <v>1.2184028975099175</v>
      </c>
      <c r="K6" s="15">
        <f t="shared" si="0"/>
        <v>1.2488629699476652</v>
      </c>
      <c r="L6" s="15">
        <f t="shared" si="0"/>
        <v>1.2800845441963566</v>
      </c>
    </row>
    <row r="11" spans="1:12" x14ac:dyDescent="0.2">
      <c r="A11" t="s">
        <v>20</v>
      </c>
    </row>
    <row r="13" spans="1:12" x14ac:dyDescent="0.2">
      <c r="B13" s="13">
        <v>2019</v>
      </c>
      <c r="C13" s="13">
        <v>2020</v>
      </c>
      <c r="D13" s="13">
        <v>2021</v>
      </c>
      <c r="E13" s="13">
        <v>2022</v>
      </c>
      <c r="F13" s="13">
        <v>2023</v>
      </c>
      <c r="G13" s="13">
        <v>2024</v>
      </c>
      <c r="H13" s="13">
        <v>2025</v>
      </c>
      <c r="I13" s="13">
        <v>2026</v>
      </c>
      <c r="J13" s="13">
        <v>2027</v>
      </c>
      <c r="K13" s="13">
        <v>2028</v>
      </c>
      <c r="L13" s="14">
        <v>2029</v>
      </c>
    </row>
    <row r="14" spans="1:12" x14ac:dyDescent="0.2">
      <c r="B14" s="22">
        <f>B6</f>
        <v>1</v>
      </c>
      <c r="C14" s="22">
        <f t="shared" ref="C14:L14" si="1">C6</f>
        <v>1.0249999999999999</v>
      </c>
      <c r="D14" s="22">
        <f t="shared" si="1"/>
        <v>1.0506249999999999</v>
      </c>
      <c r="E14" s="22">
        <f t="shared" si="1"/>
        <v>1.0768906249999999</v>
      </c>
      <c r="F14" s="22">
        <f t="shared" si="1"/>
        <v>1.1038128906249998</v>
      </c>
      <c r="G14" s="22">
        <f t="shared" si="1"/>
        <v>1.1314082128906247</v>
      </c>
      <c r="H14" s="22">
        <f t="shared" si="1"/>
        <v>1.1596934182128902</v>
      </c>
      <c r="I14" s="22">
        <f t="shared" si="1"/>
        <v>1.1886857536682123</v>
      </c>
      <c r="J14" s="22">
        <f t="shared" si="1"/>
        <v>1.2184028975099175</v>
      </c>
      <c r="K14" s="22">
        <f t="shared" si="1"/>
        <v>1.2488629699476652</v>
      </c>
      <c r="L14" s="22">
        <f t="shared" si="1"/>
        <v>1.2800845441963566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47"/>
  <sheetViews>
    <sheetView showGridLines="0" zoomScale="70" zoomScaleNormal="70" workbookViewId="0">
      <selection activeCell="D39" sqref="D39"/>
    </sheetView>
  </sheetViews>
  <sheetFormatPr defaultColWidth="8.85546875" defaultRowHeight="12.75" x14ac:dyDescent="0.2"/>
  <cols>
    <col min="1" max="1" width="28.7109375" customWidth="1"/>
    <col min="2" max="2" width="16.140625" customWidth="1"/>
    <col min="3" max="3" width="10.7109375" customWidth="1"/>
    <col min="4" max="4" width="15.140625" customWidth="1"/>
    <col min="5" max="10" width="14.5703125" customWidth="1"/>
    <col min="11" max="12" width="16.140625" customWidth="1"/>
    <col min="13" max="15" width="14.5703125" customWidth="1"/>
    <col min="16" max="16" width="2.7109375" customWidth="1"/>
    <col min="17" max="17" width="16.140625" customWidth="1"/>
  </cols>
  <sheetData>
    <row r="1" spans="1:17" x14ac:dyDescent="0.2">
      <c r="A1" s="21" t="s">
        <v>37</v>
      </c>
    </row>
    <row r="2" spans="1:17" x14ac:dyDescent="0.2">
      <c r="D2" s="1"/>
      <c r="E2" s="1"/>
      <c r="F2" s="1"/>
      <c r="G2" s="1"/>
      <c r="H2" s="1"/>
      <c r="I2" s="1"/>
      <c r="J2" s="1"/>
      <c r="K2" s="1"/>
      <c r="L2" s="1"/>
      <c r="M2" s="1"/>
      <c r="N2" s="1"/>
      <c r="O2" s="1"/>
    </row>
    <row r="3" spans="1:17" ht="13.5" thickBot="1" x14ac:dyDescent="0.25">
      <c r="B3" t="s">
        <v>83</v>
      </c>
      <c r="D3" s="102">
        <v>2019</v>
      </c>
      <c r="E3" s="102">
        <v>2020</v>
      </c>
      <c r="F3" s="102">
        <v>2021</v>
      </c>
      <c r="G3" s="102">
        <v>2022</v>
      </c>
      <c r="H3" s="102">
        <v>2023</v>
      </c>
      <c r="I3" s="102">
        <v>2024</v>
      </c>
      <c r="J3" s="102">
        <v>2025</v>
      </c>
      <c r="K3" s="102">
        <v>2026</v>
      </c>
      <c r="L3" s="102">
        <v>2027</v>
      </c>
      <c r="M3" s="102">
        <v>2028</v>
      </c>
      <c r="N3" s="102">
        <v>2029</v>
      </c>
      <c r="O3" s="102">
        <v>2030</v>
      </c>
      <c r="Q3" t="s">
        <v>84</v>
      </c>
    </row>
    <row r="4" spans="1:17" ht="13.5" thickBot="1" x14ac:dyDescent="0.25">
      <c r="A4" t="s">
        <v>81</v>
      </c>
      <c r="B4" s="117">
        <v>1</v>
      </c>
      <c r="D4" s="2">
        <f>IF($B$4=1,Inndata!C$9,Inndata!C$11)</f>
        <v>75000000</v>
      </c>
      <c r="E4" s="2">
        <f>IF($B$4=1,Inndata!D$9,Inndata!D$11)</f>
        <v>76875000</v>
      </c>
      <c r="F4" s="2">
        <f>IF($B$4=1,Inndata!E$9,Inndata!E$11)</f>
        <v>78796875</v>
      </c>
      <c r="G4" s="2">
        <f>IF($B$4=1,Inndata!F$9,Inndata!F$11)</f>
        <v>80766796.874999985</v>
      </c>
      <c r="H4" s="2">
        <f>IF($B$4=1,Inndata!G$9,Inndata!G$11)</f>
        <v>82785966.796874985</v>
      </c>
      <c r="I4" s="2">
        <f>IF($B$4=1,Inndata!H$9,Inndata!H$11)</f>
        <v>84855615.966796845</v>
      </c>
      <c r="J4" s="2">
        <f>IF($B$4=1,Inndata!I$9,Inndata!I$11)</f>
        <v>86977006.365966767</v>
      </c>
      <c r="K4" s="2">
        <f>IF($B$4=1,Inndata!J$9,Inndata!J$11)</f>
        <v>89151431.525115922</v>
      </c>
      <c r="L4" s="2">
        <f>IF($B$4=1,Inndata!K$9,Inndata!K$11)</f>
        <v>91380217.313243806</v>
      </c>
      <c r="M4" s="2">
        <f>IF($B$4=1,Inndata!L$9,Inndata!L$11)</f>
        <v>93664722.746074885</v>
      </c>
      <c r="N4" s="2">
        <f>IF($B$4=1,Inndata!M$9,Inndata!M$11)</f>
        <v>96006340.814726755</v>
      </c>
      <c r="O4" s="2">
        <f>IF($B$4=1,Inndata!N$9,Inndata!N$11)</f>
        <v>98406499.335094914</v>
      </c>
      <c r="P4" s="2">
        <f>IF($B$4=1,Inndata!O$9,Inndata!O$11)</f>
        <v>947963223.07134759</v>
      </c>
      <c r="Q4" s="3">
        <f>IF($B$4=1,SUM(D4:O4)+D4+E4+F4,SUM(D4:O4))</f>
        <v>1265338347.7388949</v>
      </c>
    </row>
    <row r="5" spans="1:17" x14ac:dyDescent="0.2">
      <c r="D5" s="2"/>
    </row>
    <row r="6" spans="1:17" x14ac:dyDescent="0.2">
      <c r="A6" t="s">
        <v>24</v>
      </c>
      <c r="B6" s="3"/>
      <c r="D6" s="2">
        <f>(D4/12)</f>
        <v>6250000</v>
      </c>
      <c r="E6" s="2">
        <f t="shared" ref="E6:M6" si="0">(E4/12)</f>
        <v>6406250</v>
      </c>
      <c r="F6" s="2">
        <f t="shared" si="0"/>
        <v>6566406.25</v>
      </c>
      <c r="G6" s="2">
        <f t="shared" si="0"/>
        <v>6730566.4062499991</v>
      </c>
      <c r="H6" s="2">
        <f t="shared" si="0"/>
        <v>6898830.5664062491</v>
      </c>
      <c r="I6" s="2">
        <f t="shared" si="0"/>
        <v>7071301.3305664035</v>
      </c>
      <c r="J6" s="2">
        <f t="shared" si="0"/>
        <v>7248083.8638305636</v>
      </c>
      <c r="K6" s="2">
        <f t="shared" si="0"/>
        <v>7429285.9604263268</v>
      </c>
      <c r="L6" s="2">
        <f t="shared" si="0"/>
        <v>7615018.1094369842</v>
      </c>
      <c r="M6" s="2">
        <f t="shared" si="0"/>
        <v>7805393.5621729074</v>
      </c>
      <c r="N6" s="2">
        <f t="shared" ref="N6:O6" si="1">(N4/12)</f>
        <v>8000528.4012272293</v>
      </c>
      <c r="O6" s="2">
        <f t="shared" si="1"/>
        <v>8200541.6112579098</v>
      </c>
    </row>
    <row r="8" spans="1:17" ht="13.5" thickBot="1" x14ac:dyDescent="0.25"/>
    <row r="9" spans="1:17" ht="13.5" thickBot="1" x14ac:dyDescent="0.25">
      <c r="C9" s="190" t="s">
        <v>38</v>
      </c>
      <c r="D9" s="191"/>
      <c r="E9" s="191"/>
      <c r="F9" s="191"/>
      <c r="G9" s="191"/>
      <c r="H9" s="191"/>
      <c r="I9" s="191"/>
      <c r="J9" s="191"/>
      <c r="K9" s="191"/>
      <c r="L9" s="191"/>
      <c r="M9" s="191"/>
      <c r="N9" s="191"/>
      <c r="O9" s="192"/>
    </row>
    <row r="10" spans="1:17" x14ac:dyDescent="0.2">
      <c r="A10" s="193" t="s">
        <v>30</v>
      </c>
      <c r="C10" s="4"/>
      <c r="D10" s="5"/>
      <c r="E10" s="5"/>
      <c r="F10" s="5"/>
      <c r="G10" s="5"/>
      <c r="H10" s="5"/>
      <c r="I10" s="5"/>
      <c r="J10" s="5"/>
      <c r="K10" s="5"/>
      <c r="L10" s="5"/>
      <c r="M10" s="5"/>
      <c r="N10" s="5"/>
      <c r="O10" s="6"/>
    </row>
    <row r="11" spans="1:17" x14ac:dyDescent="0.2">
      <c r="A11" s="193"/>
      <c r="C11" s="35" t="s">
        <v>2</v>
      </c>
      <c r="D11" s="36">
        <v>2019</v>
      </c>
      <c r="E11" s="36">
        <v>2020</v>
      </c>
      <c r="F11" s="36">
        <v>2021</v>
      </c>
      <c r="G11" s="36">
        <v>2022</v>
      </c>
      <c r="H11" s="36">
        <v>2023</v>
      </c>
      <c r="I11" s="36">
        <v>2024</v>
      </c>
      <c r="J11" s="36">
        <v>2025</v>
      </c>
      <c r="K11" s="36">
        <v>2026</v>
      </c>
      <c r="L11" s="36">
        <v>2027</v>
      </c>
      <c r="M11" s="36">
        <v>2028</v>
      </c>
      <c r="N11" s="36">
        <v>2029</v>
      </c>
      <c r="O11" s="37">
        <v>2030</v>
      </c>
    </row>
    <row r="12" spans="1:17" x14ac:dyDescent="0.2">
      <c r="A12" s="193"/>
      <c r="C12" s="4" t="s">
        <v>3</v>
      </c>
      <c r="D12" s="27" t="s">
        <v>17</v>
      </c>
      <c r="E12" s="43">
        <v>0.13</v>
      </c>
      <c r="F12" s="43">
        <v>0.13</v>
      </c>
      <c r="G12" s="43">
        <v>0.2</v>
      </c>
      <c r="H12" s="43">
        <v>0.3</v>
      </c>
      <c r="I12" s="43">
        <v>0.5</v>
      </c>
      <c r="J12" s="43">
        <v>0.5</v>
      </c>
      <c r="K12" s="43">
        <v>0.6</v>
      </c>
      <c r="L12" s="66">
        <v>0.8</v>
      </c>
      <c r="M12" s="43">
        <v>0.9</v>
      </c>
      <c r="N12" s="43">
        <v>0.9</v>
      </c>
      <c r="O12" s="45">
        <v>1</v>
      </c>
    </row>
    <row r="13" spans="1:17" x14ac:dyDescent="0.2">
      <c r="A13" s="193"/>
      <c r="C13" s="4" t="s">
        <v>4</v>
      </c>
      <c r="D13" s="27" t="s">
        <v>17</v>
      </c>
      <c r="E13" s="43">
        <v>0.13</v>
      </c>
      <c r="F13" s="43">
        <v>0.13</v>
      </c>
      <c r="G13" s="43">
        <v>0.2</v>
      </c>
      <c r="H13" s="43">
        <v>0.3</v>
      </c>
      <c r="I13" s="43">
        <v>0.5</v>
      </c>
      <c r="J13" s="43">
        <v>0.5</v>
      </c>
      <c r="K13" s="43">
        <v>0.6</v>
      </c>
      <c r="L13" s="66">
        <v>0.8</v>
      </c>
      <c r="M13" s="43">
        <v>0.9</v>
      </c>
      <c r="N13" s="43">
        <v>0.9</v>
      </c>
      <c r="O13" s="45">
        <v>1</v>
      </c>
    </row>
    <row r="14" spans="1:17" x14ac:dyDescent="0.2">
      <c r="A14" s="193"/>
      <c r="C14" s="4" t="s">
        <v>5</v>
      </c>
      <c r="D14" s="27" t="s">
        <v>17</v>
      </c>
      <c r="E14" s="43">
        <v>0.13</v>
      </c>
      <c r="F14" s="43">
        <v>0.13</v>
      </c>
      <c r="G14" s="43">
        <v>0.2</v>
      </c>
      <c r="H14" s="43">
        <v>0.3</v>
      </c>
      <c r="I14" s="43">
        <v>0.5</v>
      </c>
      <c r="J14" s="43">
        <v>0.5</v>
      </c>
      <c r="K14" s="43">
        <v>0.6</v>
      </c>
      <c r="L14" s="66">
        <v>0.8</v>
      </c>
      <c r="M14" s="43">
        <v>0.9</v>
      </c>
      <c r="N14" s="43">
        <v>0.9</v>
      </c>
      <c r="O14" s="45">
        <v>1</v>
      </c>
    </row>
    <row r="15" spans="1:17" x14ac:dyDescent="0.2">
      <c r="A15" s="193"/>
      <c r="C15" s="4" t="s">
        <v>6</v>
      </c>
      <c r="D15" s="27" t="s">
        <v>17</v>
      </c>
      <c r="E15" s="43">
        <v>0.13</v>
      </c>
      <c r="F15" s="43">
        <v>0.13</v>
      </c>
      <c r="G15" s="43">
        <v>0.2</v>
      </c>
      <c r="H15" s="43">
        <v>0.3</v>
      </c>
      <c r="I15" s="43">
        <v>0.5</v>
      </c>
      <c r="J15" s="43">
        <v>0.5</v>
      </c>
      <c r="K15" s="43">
        <v>0.6</v>
      </c>
      <c r="L15" s="66">
        <v>0.8</v>
      </c>
      <c r="M15" s="43">
        <v>0.9</v>
      </c>
      <c r="N15" s="43">
        <v>0.9</v>
      </c>
      <c r="O15" s="45">
        <v>1</v>
      </c>
    </row>
    <row r="16" spans="1:17" x14ac:dyDescent="0.2">
      <c r="A16" s="193"/>
      <c r="C16" s="4" t="s">
        <v>7</v>
      </c>
      <c r="D16" s="27" t="s">
        <v>17</v>
      </c>
      <c r="E16" s="43">
        <v>0.13</v>
      </c>
      <c r="F16" s="43">
        <v>0.13</v>
      </c>
      <c r="G16" s="43">
        <v>0.2</v>
      </c>
      <c r="H16" s="43">
        <v>0.3</v>
      </c>
      <c r="I16" s="43">
        <v>0.5</v>
      </c>
      <c r="J16" s="43">
        <v>0.5</v>
      </c>
      <c r="K16" s="43">
        <v>0.6</v>
      </c>
      <c r="L16" s="66">
        <v>0.8</v>
      </c>
      <c r="M16" s="43">
        <v>0.9</v>
      </c>
      <c r="N16" s="43">
        <v>0.9</v>
      </c>
      <c r="O16" s="45">
        <v>1</v>
      </c>
    </row>
    <row r="17" spans="1:15" ht="13.5" thickBot="1" x14ac:dyDescent="0.25">
      <c r="A17" s="193"/>
      <c r="C17" s="4" t="s">
        <v>8</v>
      </c>
      <c r="D17" s="112">
        <v>0.1</v>
      </c>
      <c r="E17" s="43">
        <v>0.13</v>
      </c>
      <c r="F17" s="43">
        <v>0.13</v>
      </c>
      <c r="G17" s="43">
        <v>0.2</v>
      </c>
      <c r="H17" s="43">
        <v>0.3</v>
      </c>
      <c r="I17" s="43">
        <v>0.5</v>
      </c>
      <c r="J17" s="43">
        <v>0.5</v>
      </c>
      <c r="K17" s="43">
        <v>0.6</v>
      </c>
      <c r="L17" s="66">
        <v>0.8</v>
      </c>
      <c r="M17" s="43">
        <v>0.9</v>
      </c>
      <c r="N17" s="43">
        <v>0.9</v>
      </c>
      <c r="O17" s="45">
        <v>1</v>
      </c>
    </row>
    <row r="18" spans="1:15" x14ac:dyDescent="0.2">
      <c r="A18" s="193"/>
      <c r="C18" s="4" t="s">
        <v>9</v>
      </c>
      <c r="D18" s="112">
        <v>0.1</v>
      </c>
      <c r="E18" s="43">
        <v>0.13</v>
      </c>
      <c r="F18" s="43">
        <v>0.13</v>
      </c>
      <c r="G18" s="43">
        <v>0.2</v>
      </c>
      <c r="H18" s="43">
        <v>0.3</v>
      </c>
      <c r="I18" s="43">
        <v>0.5</v>
      </c>
      <c r="J18" s="43">
        <v>0.5</v>
      </c>
      <c r="K18" s="65">
        <v>0.6</v>
      </c>
      <c r="L18" s="43">
        <v>0.8</v>
      </c>
      <c r="M18" s="43">
        <v>0.9</v>
      </c>
      <c r="N18" s="43">
        <v>0.9</v>
      </c>
      <c r="O18" s="31" t="s">
        <v>17</v>
      </c>
    </row>
    <row r="19" spans="1:15" x14ac:dyDescent="0.2">
      <c r="A19" s="193"/>
      <c r="C19" s="4" t="s">
        <v>10</v>
      </c>
      <c r="D19" s="112">
        <v>0.1</v>
      </c>
      <c r="E19" s="43">
        <v>0.13</v>
      </c>
      <c r="F19" s="43">
        <v>0.13</v>
      </c>
      <c r="G19" s="43">
        <v>0.2</v>
      </c>
      <c r="H19" s="43">
        <v>0.3</v>
      </c>
      <c r="I19" s="43">
        <v>0.5</v>
      </c>
      <c r="J19" s="43">
        <v>0.5</v>
      </c>
      <c r="K19" s="66">
        <v>0.6</v>
      </c>
      <c r="L19" s="43">
        <v>0.8</v>
      </c>
      <c r="M19" s="43">
        <v>0.9</v>
      </c>
      <c r="N19" s="43">
        <v>0.9</v>
      </c>
      <c r="O19" s="31" t="s">
        <v>17</v>
      </c>
    </row>
    <row r="20" spans="1:15" x14ac:dyDescent="0.2">
      <c r="A20" s="193"/>
      <c r="C20" s="4" t="s">
        <v>11</v>
      </c>
      <c r="D20" s="112">
        <v>0.1</v>
      </c>
      <c r="E20" s="43">
        <v>0.13</v>
      </c>
      <c r="F20" s="43">
        <v>0.13</v>
      </c>
      <c r="G20" s="43">
        <v>0.2</v>
      </c>
      <c r="H20" s="43">
        <v>0.3</v>
      </c>
      <c r="I20" s="43">
        <v>0.5</v>
      </c>
      <c r="J20" s="43">
        <v>0.5</v>
      </c>
      <c r="K20" s="66">
        <v>0.6</v>
      </c>
      <c r="L20" s="43">
        <v>0.8</v>
      </c>
      <c r="M20" s="43">
        <v>0.9</v>
      </c>
      <c r="N20" s="43">
        <v>0.9</v>
      </c>
      <c r="O20" s="32" t="s">
        <v>17</v>
      </c>
    </row>
    <row r="21" spans="1:15" x14ac:dyDescent="0.2">
      <c r="A21" s="193"/>
      <c r="C21" s="4" t="s">
        <v>12</v>
      </c>
      <c r="D21" s="112">
        <v>0.1</v>
      </c>
      <c r="E21" s="43">
        <v>0.13</v>
      </c>
      <c r="F21" s="43">
        <v>0.13</v>
      </c>
      <c r="G21" s="43">
        <v>0.2</v>
      </c>
      <c r="H21" s="43">
        <v>0.3</v>
      </c>
      <c r="I21" s="43">
        <v>0.5</v>
      </c>
      <c r="J21" s="43">
        <v>0.5</v>
      </c>
      <c r="K21" s="66">
        <v>0.6</v>
      </c>
      <c r="L21" s="43">
        <v>0.8</v>
      </c>
      <c r="M21" s="43">
        <v>0.9</v>
      </c>
      <c r="N21" s="43">
        <v>0.9</v>
      </c>
      <c r="O21" s="32" t="s">
        <v>17</v>
      </c>
    </row>
    <row r="22" spans="1:15" x14ac:dyDescent="0.2">
      <c r="A22" s="193"/>
      <c r="C22" s="4" t="s">
        <v>13</v>
      </c>
      <c r="D22" s="112">
        <v>0.1</v>
      </c>
      <c r="E22" s="43">
        <v>0.13</v>
      </c>
      <c r="F22" s="43">
        <v>0.13</v>
      </c>
      <c r="G22" s="43">
        <v>0.2</v>
      </c>
      <c r="H22" s="43">
        <v>0.3</v>
      </c>
      <c r="I22" s="43">
        <v>0.5</v>
      </c>
      <c r="J22" s="43">
        <v>0.5</v>
      </c>
      <c r="K22" s="66">
        <v>0.6</v>
      </c>
      <c r="L22" s="43">
        <v>0.8</v>
      </c>
      <c r="M22" s="43">
        <v>0.9</v>
      </c>
      <c r="N22" s="43">
        <v>0.9</v>
      </c>
      <c r="O22" s="32" t="s">
        <v>17</v>
      </c>
    </row>
    <row r="23" spans="1:15" ht="13.5" thickBot="1" x14ac:dyDescent="0.25">
      <c r="A23" s="193"/>
      <c r="C23" s="7" t="s">
        <v>14</v>
      </c>
      <c r="D23" s="113">
        <v>0.1</v>
      </c>
      <c r="E23" s="44">
        <v>0.13</v>
      </c>
      <c r="F23" s="44">
        <v>0.13</v>
      </c>
      <c r="G23" s="44">
        <v>0.2</v>
      </c>
      <c r="H23" s="44">
        <v>0.3</v>
      </c>
      <c r="I23" s="44">
        <v>0.5</v>
      </c>
      <c r="J23" s="44">
        <v>0.5</v>
      </c>
      <c r="K23" s="67">
        <v>0.6</v>
      </c>
      <c r="L23" s="44">
        <v>0.8</v>
      </c>
      <c r="M23" s="44">
        <v>0.9</v>
      </c>
      <c r="N23" s="44">
        <v>0.9</v>
      </c>
      <c r="O23" s="34" t="s">
        <v>17</v>
      </c>
    </row>
    <row r="25" spans="1:15" ht="13.5" thickBot="1" x14ac:dyDescent="0.25"/>
    <row r="26" spans="1:15" ht="13.5" thickBot="1" x14ac:dyDescent="0.25">
      <c r="C26" s="190" t="s">
        <v>39</v>
      </c>
      <c r="D26" s="191"/>
      <c r="E26" s="191"/>
      <c r="F26" s="191"/>
      <c r="G26" s="191"/>
      <c r="H26" s="191"/>
      <c r="I26" s="191"/>
      <c r="J26" s="191"/>
      <c r="K26" s="191"/>
      <c r="L26" s="191"/>
      <c r="M26" s="191"/>
      <c r="N26" s="191"/>
      <c r="O26" s="192"/>
    </row>
    <row r="27" spans="1:15" ht="13.5" thickBot="1" x14ac:dyDescent="0.25">
      <c r="C27" s="4"/>
      <c r="D27" s="5"/>
      <c r="E27" s="5"/>
      <c r="F27" s="5"/>
      <c r="G27" s="5"/>
      <c r="H27" s="5"/>
      <c r="I27" s="5"/>
      <c r="J27" s="5"/>
      <c r="K27" s="5"/>
      <c r="L27" s="5"/>
      <c r="M27" s="5"/>
      <c r="N27" s="5"/>
      <c r="O27" s="6"/>
    </row>
    <row r="28" spans="1:15" x14ac:dyDescent="0.2">
      <c r="C28" s="35" t="s">
        <v>2</v>
      </c>
      <c r="D28" s="103">
        <v>2019</v>
      </c>
      <c r="E28" s="104">
        <v>2020</v>
      </c>
      <c r="F28" s="105">
        <v>2021</v>
      </c>
      <c r="G28" s="36">
        <v>2022</v>
      </c>
      <c r="H28" s="36">
        <v>2023</v>
      </c>
      <c r="I28" s="36">
        <v>2024</v>
      </c>
      <c r="J28" s="36">
        <v>2025</v>
      </c>
      <c r="K28" s="36">
        <v>2026</v>
      </c>
      <c r="L28" s="36">
        <v>2027</v>
      </c>
      <c r="M28" s="36">
        <v>2028</v>
      </c>
      <c r="N28" s="36">
        <v>2029</v>
      </c>
      <c r="O28" s="37">
        <v>2030</v>
      </c>
    </row>
    <row r="29" spans="1:15" x14ac:dyDescent="0.2">
      <c r="C29" s="4" t="s">
        <v>3</v>
      </c>
      <c r="D29" s="99" t="s">
        <v>17</v>
      </c>
      <c r="E29" s="98">
        <f t="shared" ref="E29:F40" si="2">IF($B$4=1,(E$6*E$17)*2,(E$6*E$17))</f>
        <v>1665625</v>
      </c>
      <c r="F29" s="100">
        <f t="shared" si="2"/>
        <v>1707265.625</v>
      </c>
      <c r="G29" s="26">
        <f t="shared" ref="G29:N40" si="3">G$6*G12</f>
        <v>1346113.28125</v>
      </c>
      <c r="H29" s="26">
        <f t="shared" si="3"/>
        <v>2069649.1699218745</v>
      </c>
      <c r="I29" s="26">
        <f t="shared" si="3"/>
        <v>3535650.6652832017</v>
      </c>
      <c r="J29" s="26">
        <f t="shared" si="3"/>
        <v>3624041.9319152818</v>
      </c>
      <c r="K29" s="26">
        <f t="shared" si="3"/>
        <v>4457571.5762557955</v>
      </c>
      <c r="L29" s="26">
        <f t="shared" si="3"/>
        <v>6092014.4875495881</v>
      </c>
      <c r="M29" s="26">
        <f t="shared" si="3"/>
        <v>7024854.2059556171</v>
      </c>
      <c r="N29" s="26">
        <f t="shared" si="3"/>
        <v>7200475.5611045063</v>
      </c>
      <c r="O29" s="9">
        <f t="shared" ref="O29:O34" si="4">O12*O$6</f>
        <v>8200541.6112579098</v>
      </c>
    </row>
    <row r="30" spans="1:15" x14ac:dyDescent="0.2">
      <c r="C30" s="4" t="s">
        <v>4</v>
      </c>
      <c r="D30" s="99" t="s">
        <v>17</v>
      </c>
      <c r="E30" s="98">
        <f t="shared" si="2"/>
        <v>1665625</v>
      </c>
      <c r="F30" s="100">
        <f t="shared" si="2"/>
        <v>1707265.625</v>
      </c>
      <c r="G30" s="26">
        <f t="shared" si="3"/>
        <v>1346113.28125</v>
      </c>
      <c r="H30" s="26">
        <f t="shared" si="3"/>
        <v>2069649.1699218745</v>
      </c>
      <c r="I30" s="26">
        <f t="shared" si="3"/>
        <v>3535650.6652832017</v>
      </c>
      <c r="J30" s="26">
        <f t="shared" si="3"/>
        <v>3624041.9319152818</v>
      </c>
      <c r="K30" s="26">
        <f t="shared" si="3"/>
        <v>4457571.5762557955</v>
      </c>
      <c r="L30" s="26">
        <f t="shared" si="3"/>
        <v>6092014.4875495881</v>
      </c>
      <c r="M30" s="26">
        <f t="shared" si="3"/>
        <v>7024854.2059556171</v>
      </c>
      <c r="N30" s="26">
        <f t="shared" si="3"/>
        <v>7200475.5611045063</v>
      </c>
      <c r="O30" s="9">
        <f t="shared" si="4"/>
        <v>8200541.6112579098</v>
      </c>
    </row>
    <row r="31" spans="1:15" x14ac:dyDescent="0.2">
      <c r="C31" s="4" t="s">
        <v>5</v>
      </c>
      <c r="D31" s="99" t="s">
        <v>17</v>
      </c>
      <c r="E31" s="98">
        <f t="shared" si="2"/>
        <v>1665625</v>
      </c>
      <c r="F31" s="100">
        <f t="shared" si="2"/>
        <v>1707265.625</v>
      </c>
      <c r="G31" s="26">
        <f t="shared" si="3"/>
        <v>1346113.28125</v>
      </c>
      <c r="H31" s="26">
        <f t="shared" si="3"/>
        <v>2069649.1699218745</v>
      </c>
      <c r="I31" s="26">
        <f t="shared" si="3"/>
        <v>3535650.6652832017</v>
      </c>
      <c r="J31" s="26">
        <f t="shared" si="3"/>
        <v>3624041.9319152818</v>
      </c>
      <c r="K31" s="26">
        <f t="shared" si="3"/>
        <v>4457571.5762557955</v>
      </c>
      <c r="L31" s="26">
        <f t="shared" si="3"/>
        <v>6092014.4875495881</v>
      </c>
      <c r="M31" s="26">
        <f t="shared" si="3"/>
        <v>7024854.2059556171</v>
      </c>
      <c r="N31" s="26">
        <f t="shared" si="3"/>
        <v>7200475.5611045063</v>
      </c>
      <c r="O31" s="9">
        <f t="shared" si="4"/>
        <v>8200541.6112579098</v>
      </c>
    </row>
    <row r="32" spans="1:15" x14ac:dyDescent="0.2">
      <c r="C32" s="4" t="s">
        <v>6</v>
      </c>
      <c r="D32" s="99" t="s">
        <v>17</v>
      </c>
      <c r="E32" s="98">
        <f t="shared" si="2"/>
        <v>1665625</v>
      </c>
      <c r="F32" s="100">
        <f t="shared" si="2"/>
        <v>1707265.625</v>
      </c>
      <c r="G32" s="26">
        <f t="shared" si="3"/>
        <v>1346113.28125</v>
      </c>
      <c r="H32" s="26">
        <f t="shared" si="3"/>
        <v>2069649.1699218745</v>
      </c>
      <c r="I32" s="26">
        <f t="shared" si="3"/>
        <v>3535650.6652832017</v>
      </c>
      <c r="J32" s="26">
        <f t="shared" si="3"/>
        <v>3624041.9319152818</v>
      </c>
      <c r="K32" s="26">
        <f t="shared" si="3"/>
        <v>4457571.5762557955</v>
      </c>
      <c r="L32" s="26">
        <f t="shared" si="3"/>
        <v>6092014.4875495881</v>
      </c>
      <c r="M32" s="26">
        <f t="shared" si="3"/>
        <v>7024854.2059556171</v>
      </c>
      <c r="N32" s="26">
        <f t="shared" si="3"/>
        <v>7200475.5611045063</v>
      </c>
      <c r="O32" s="9">
        <f t="shared" si="4"/>
        <v>8200541.6112579098</v>
      </c>
    </row>
    <row r="33" spans="1:17" x14ac:dyDescent="0.2">
      <c r="C33" s="4" t="s">
        <v>7</v>
      </c>
      <c r="D33" s="99" t="s">
        <v>17</v>
      </c>
      <c r="E33" s="98">
        <f t="shared" si="2"/>
        <v>1665625</v>
      </c>
      <c r="F33" s="100">
        <f t="shared" si="2"/>
        <v>1707265.625</v>
      </c>
      <c r="G33" s="26">
        <f t="shared" si="3"/>
        <v>1346113.28125</v>
      </c>
      <c r="H33" s="26">
        <f t="shared" si="3"/>
        <v>2069649.1699218745</v>
      </c>
      <c r="I33" s="26">
        <f t="shared" si="3"/>
        <v>3535650.6652832017</v>
      </c>
      <c r="J33" s="26">
        <f t="shared" si="3"/>
        <v>3624041.9319152818</v>
      </c>
      <c r="K33" s="26">
        <f t="shared" si="3"/>
        <v>4457571.5762557955</v>
      </c>
      <c r="L33" s="26">
        <f t="shared" si="3"/>
        <v>6092014.4875495881</v>
      </c>
      <c r="M33" s="26">
        <f t="shared" si="3"/>
        <v>7024854.2059556171</v>
      </c>
      <c r="N33" s="26">
        <f t="shared" si="3"/>
        <v>7200475.5611045063</v>
      </c>
      <c r="O33" s="9">
        <f t="shared" si="4"/>
        <v>8200541.6112579098</v>
      </c>
    </row>
    <row r="34" spans="1:17" x14ac:dyDescent="0.2">
      <c r="C34" s="4" t="s">
        <v>8</v>
      </c>
      <c r="D34" s="101">
        <f>IF($B$4=1,(D$6*D$17)*2,(D$6*D$17))</f>
        <v>1250000</v>
      </c>
      <c r="E34" s="98">
        <f t="shared" si="2"/>
        <v>1665625</v>
      </c>
      <c r="F34" s="100">
        <f t="shared" si="2"/>
        <v>1707265.625</v>
      </c>
      <c r="G34" s="26">
        <f t="shared" si="3"/>
        <v>1346113.28125</v>
      </c>
      <c r="H34" s="26">
        <f t="shared" si="3"/>
        <v>2069649.1699218745</v>
      </c>
      <c r="I34" s="26">
        <f t="shared" si="3"/>
        <v>3535650.6652832017</v>
      </c>
      <c r="J34" s="26">
        <f t="shared" si="3"/>
        <v>3624041.9319152818</v>
      </c>
      <c r="K34" s="26">
        <f t="shared" si="3"/>
        <v>4457571.5762557955</v>
      </c>
      <c r="L34" s="26">
        <f t="shared" si="3"/>
        <v>6092014.4875495881</v>
      </c>
      <c r="M34" s="26">
        <f t="shared" si="3"/>
        <v>7024854.2059556171</v>
      </c>
      <c r="N34" s="26">
        <f t="shared" si="3"/>
        <v>7200475.5611045063</v>
      </c>
      <c r="O34" s="9">
        <f t="shared" si="4"/>
        <v>8200541.6112579098</v>
      </c>
    </row>
    <row r="35" spans="1:17" x14ac:dyDescent="0.2">
      <c r="C35" s="4" t="s">
        <v>9</v>
      </c>
      <c r="D35" s="101">
        <f t="shared" ref="D35:D40" si="5">IF($B$4=1,(D$6*D$17)*2,(D$6*D$17))</f>
        <v>1250000</v>
      </c>
      <c r="E35" s="98">
        <f t="shared" si="2"/>
        <v>1665625</v>
      </c>
      <c r="F35" s="100">
        <f t="shared" si="2"/>
        <v>1707265.625</v>
      </c>
      <c r="G35" s="26">
        <f t="shared" si="3"/>
        <v>1346113.28125</v>
      </c>
      <c r="H35" s="26">
        <f t="shared" si="3"/>
        <v>2069649.1699218745</v>
      </c>
      <c r="I35" s="26">
        <f t="shared" si="3"/>
        <v>3535650.6652832017</v>
      </c>
      <c r="J35" s="26">
        <f t="shared" si="3"/>
        <v>3624041.9319152818</v>
      </c>
      <c r="K35" s="26">
        <f t="shared" si="3"/>
        <v>4457571.5762557955</v>
      </c>
      <c r="L35" s="26">
        <f t="shared" si="3"/>
        <v>6092014.4875495881</v>
      </c>
      <c r="M35" s="26">
        <f t="shared" si="3"/>
        <v>7024854.2059556171</v>
      </c>
      <c r="N35" s="26">
        <f t="shared" si="3"/>
        <v>7200475.5611045063</v>
      </c>
      <c r="O35" s="25" t="s">
        <v>17</v>
      </c>
    </row>
    <row r="36" spans="1:17" x14ac:dyDescent="0.2">
      <c r="C36" s="4" t="s">
        <v>10</v>
      </c>
      <c r="D36" s="101">
        <f t="shared" si="5"/>
        <v>1250000</v>
      </c>
      <c r="E36" s="98">
        <f t="shared" si="2"/>
        <v>1665625</v>
      </c>
      <c r="F36" s="100">
        <f t="shared" si="2"/>
        <v>1707265.625</v>
      </c>
      <c r="G36" s="26">
        <f t="shared" si="3"/>
        <v>1346113.28125</v>
      </c>
      <c r="H36" s="26">
        <f t="shared" si="3"/>
        <v>2069649.1699218745</v>
      </c>
      <c r="I36" s="26">
        <f t="shared" si="3"/>
        <v>3535650.6652832017</v>
      </c>
      <c r="J36" s="26">
        <f t="shared" si="3"/>
        <v>3624041.9319152818</v>
      </c>
      <c r="K36" s="26">
        <f t="shared" si="3"/>
        <v>4457571.5762557955</v>
      </c>
      <c r="L36" s="26">
        <f t="shared" si="3"/>
        <v>6092014.4875495881</v>
      </c>
      <c r="M36" s="26">
        <f t="shared" si="3"/>
        <v>7024854.2059556171</v>
      </c>
      <c r="N36" s="26">
        <f t="shared" si="3"/>
        <v>7200475.5611045063</v>
      </c>
      <c r="O36" s="25" t="s">
        <v>17</v>
      </c>
    </row>
    <row r="37" spans="1:17" x14ac:dyDescent="0.2">
      <c r="C37" s="4" t="s">
        <v>11</v>
      </c>
      <c r="D37" s="101">
        <f t="shared" si="5"/>
        <v>1250000</v>
      </c>
      <c r="E37" s="98">
        <f t="shared" si="2"/>
        <v>1665625</v>
      </c>
      <c r="F37" s="100">
        <f t="shared" si="2"/>
        <v>1707265.625</v>
      </c>
      <c r="G37" s="26">
        <f t="shared" si="3"/>
        <v>1346113.28125</v>
      </c>
      <c r="H37" s="26">
        <f t="shared" si="3"/>
        <v>2069649.1699218745</v>
      </c>
      <c r="I37" s="26">
        <f t="shared" si="3"/>
        <v>3535650.6652832017</v>
      </c>
      <c r="J37" s="26">
        <f t="shared" si="3"/>
        <v>3624041.9319152818</v>
      </c>
      <c r="K37" s="26">
        <f t="shared" si="3"/>
        <v>4457571.5762557955</v>
      </c>
      <c r="L37" s="26">
        <f t="shared" si="3"/>
        <v>6092014.4875495881</v>
      </c>
      <c r="M37" s="26">
        <f t="shared" si="3"/>
        <v>7024854.2059556171</v>
      </c>
      <c r="N37" s="26">
        <f t="shared" si="3"/>
        <v>7200475.5611045063</v>
      </c>
      <c r="O37" s="25" t="s">
        <v>17</v>
      </c>
    </row>
    <row r="38" spans="1:17" x14ac:dyDescent="0.2">
      <c r="C38" s="4" t="s">
        <v>12</v>
      </c>
      <c r="D38" s="101">
        <f t="shared" si="5"/>
        <v>1250000</v>
      </c>
      <c r="E38" s="98">
        <f t="shared" si="2"/>
        <v>1665625</v>
      </c>
      <c r="F38" s="100">
        <f t="shared" si="2"/>
        <v>1707265.625</v>
      </c>
      <c r="G38" s="26">
        <f t="shared" si="3"/>
        <v>1346113.28125</v>
      </c>
      <c r="H38" s="26">
        <f t="shared" si="3"/>
        <v>2069649.1699218745</v>
      </c>
      <c r="I38" s="26">
        <f t="shared" si="3"/>
        <v>3535650.6652832017</v>
      </c>
      <c r="J38" s="26">
        <f t="shared" si="3"/>
        <v>3624041.9319152818</v>
      </c>
      <c r="K38" s="26">
        <f t="shared" si="3"/>
        <v>4457571.5762557955</v>
      </c>
      <c r="L38" s="26">
        <f t="shared" si="3"/>
        <v>6092014.4875495881</v>
      </c>
      <c r="M38" s="26">
        <f t="shared" si="3"/>
        <v>7024854.2059556171</v>
      </c>
      <c r="N38" s="26">
        <f t="shared" si="3"/>
        <v>7200475.5611045063</v>
      </c>
      <c r="O38" s="25" t="s">
        <v>17</v>
      </c>
    </row>
    <row r="39" spans="1:17" x14ac:dyDescent="0.2">
      <c r="C39" s="4" t="s">
        <v>13</v>
      </c>
      <c r="D39" s="101">
        <f t="shared" si="5"/>
        <v>1250000</v>
      </c>
      <c r="E39" s="98">
        <f t="shared" si="2"/>
        <v>1665625</v>
      </c>
      <c r="F39" s="100">
        <f t="shared" si="2"/>
        <v>1707265.625</v>
      </c>
      <c r="G39" s="26">
        <f t="shared" si="3"/>
        <v>1346113.28125</v>
      </c>
      <c r="H39" s="26">
        <f t="shared" si="3"/>
        <v>2069649.1699218745</v>
      </c>
      <c r="I39" s="26">
        <f t="shared" si="3"/>
        <v>3535650.6652832017</v>
      </c>
      <c r="J39" s="26">
        <f t="shared" si="3"/>
        <v>3624041.9319152818</v>
      </c>
      <c r="K39" s="26">
        <f t="shared" si="3"/>
        <v>4457571.5762557955</v>
      </c>
      <c r="L39" s="26">
        <f t="shared" si="3"/>
        <v>6092014.4875495881</v>
      </c>
      <c r="M39" s="26">
        <f t="shared" si="3"/>
        <v>7024854.2059556171</v>
      </c>
      <c r="N39" s="26">
        <f t="shared" si="3"/>
        <v>7200475.5611045063</v>
      </c>
      <c r="O39" s="25" t="s">
        <v>17</v>
      </c>
    </row>
    <row r="40" spans="1:17" x14ac:dyDescent="0.2">
      <c r="C40" s="4" t="s">
        <v>14</v>
      </c>
      <c r="D40" s="106">
        <f t="shared" si="5"/>
        <v>1250000</v>
      </c>
      <c r="E40" s="107">
        <f t="shared" si="2"/>
        <v>1665625</v>
      </c>
      <c r="F40" s="108">
        <f t="shared" si="2"/>
        <v>1707265.625</v>
      </c>
      <c r="G40" s="26">
        <f t="shared" si="3"/>
        <v>1346113.28125</v>
      </c>
      <c r="H40" s="26">
        <f t="shared" si="3"/>
        <v>2069649.1699218745</v>
      </c>
      <c r="I40" s="26">
        <f t="shared" si="3"/>
        <v>3535650.6652832017</v>
      </c>
      <c r="J40" s="26">
        <f t="shared" si="3"/>
        <v>3624041.9319152818</v>
      </c>
      <c r="K40" s="26">
        <f t="shared" si="3"/>
        <v>4457571.5762557955</v>
      </c>
      <c r="L40" s="26">
        <f t="shared" si="3"/>
        <v>6092014.4875495881</v>
      </c>
      <c r="M40" s="26">
        <f t="shared" si="3"/>
        <v>7024854.2059556171</v>
      </c>
      <c r="N40" s="26">
        <f t="shared" si="3"/>
        <v>7200475.5611045063</v>
      </c>
      <c r="O40" s="25" t="s">
        <v>17</v>
      </c>
      <c r="Q40" t="s">
        <v>34</v>
      </c>
    </row>
    <row r="41" spans="1:17" ht="13.5" thickBot="1" x14ac:dyDescent="0.25">
      <c r="C41" s="10" t="s">
        <v>16</v>
      </c>
      <c r="D41" s="114">
        <f>SUM(D34:D40)</f>
        <v>8750000</v>
      </c>
      <c r="E41" s="115">
        <f>SUM(E29:E40)</f>
        <v>19987500</v>
      </c>
      <c r="F41" s="116">
        <f t="shared" ref="F41:O41" si="6">SUM(F29:F40)</f>
        <v>20487187.5</v>
      </c>
      <c r="G41" s="11">
        <f t="shared" si="6"/>
        <v>16153359.375</v>
      </c>
      <c r="H41" s="11">
        <f t="shared" si="6"/>
        <v>24835790.039062496</v>
      </c>
      <c r="I41" s="11">
        <f t="shared" si="6"/>
        <v>42427807.98339843</v>
      </c>
      <c r="J41" s="11">
        <f t="shared" si="6"/>
        <v>43488503.182983391</v>
      </c>
      <c r="K41" s="11">
        <f t="shared" si="6"/>
        <v>53490858.915069558</v>
      </c>
      <c r="L41" s="11">
        <f t="shared" si="6"/>
        <v>73104173.850595057</v>
      </c>
      <c r="M41" s="11">
        <f t="shared" si="6"/>
        <v>84298250.471467406</v>
      </c>
      <c r="N41" s="11">
        <f t="shared" ref="N41" si="7">SUM(N29:N40)</f>
        <v>86405706.733254075</v>
      </c>
      <c r="O41" s="18">
        <f t="shared" si="6"/>
        <v>49203249.667547457</v>
      </c>
      <c r="Q41" s="3">
        <f>SUM(D41:O41)</f>
        <v>522632387.71837783</v>
      </c>
    </row>
    <row r="42" spans="1:17" ht="13.5" thickBot="1" x14ac:dyDescent="0.25">
      <c r="D42" s="194" t="s">
        <v>82</v>
      </c>
      <c r="E42" s="195"/>
      <c r="F42" s="196"/>
    </row>
    <row r="45" spans="1:17" ht="13.5" thickBot="1" x14ac:dyDescent="0.25"/>
    <row r="46" spans="1:17" ht="13.5" thickBot="1" x14ac:dyDescent="0.25">
      <c r="B46" t="s">
        <v>85</v>
      </c>
      <c r="D46" s="119" t="e">
        <f>D4*IF($B$4=1,2,1)/Inndata!C16</f>
        <v>#DIV/0!</v>
      </c>
      <c r="E46" s="119">
        <f>E4*IF($B$4=1,2,1)/Inndata!D20</f>
        <v>0.60000000000000009</v>
      </c>
      <c r="F46" s="119">
        <f>F4*IF($B$4=1,2,1)/Inndata!E20</f>
        <v>0.60000000000000009</v>
      </c>
      <c r="G46" s="119">
        <f>G4/Inndata!F20</f>
        <v>0.3</v>
      </c>
      <c r="H46" s="119">
        <f>H4/Inndata!G20</f>
        <v>0.3</v>
      </c>
      <c r="I46" s="119">
        <f>I4/Inndata!H20</f>
        <v>0.29999999999999993</v>
      </c>
      <c r="J46" s="119">
        <f>J4/Inndata!I20</f>
        <v>0.30000000000000004</v>
      </c>
      <c r="K46" s="119">
        <f>K4/Inndata!J20</f>
        <v>0.30000000000000004</v>
      </c>
      <c r="L46" s="119">
        <f>L4/Inndata!K20</f>
        <v>0.3</v>
      </c>
      <c r="M46" s="119">
        <f>M4/Inndata!L20</f>
        <v>0.3</v>
      </c>
      <c r="N46" s="119">
        <f>N4/Inndata!M20</f>
        <v>0.30000000000000004</v>
      </c>
      <c r="O46" s="119">
        <f>O4/Inndata!N20</f>
        <v>0.6</v>
      </c>
      <c r="Q46" s="120">
        <f>Q4/Inndata!O20</f>
        <v>0.40043906248997829</v>
      </c>
    </row>
    <row r="47" spans="1:17" x14ac:dyDescent="0.2">
      <c r="A47" s="2"/>
    </row>
  </sheetData>
  <mergeCells count="4">
    <mergeCell ref="C9:O9"/>
    <mergeCell ref="A10:A23"/>
    <mergeCell ref="C26:O26"/>
    <mergeCell ref="D42:F42"/>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45"/>
  <sheetViews>
    <sheetView showGridLines="0" workbookViewId="0">
      <selection activeCell="D8" sqref="D8"/>
    </sheetView>
  </sheetViews>
  <sheetFormatPr defaultColWidth="8.85546875" defaultRowHeight="12.75" x14ac:dyDescent="0.2"/>
  <cols>
    <col min="1" max="1" width="28.7109375" bestFit="1" customWidth="1"/>
    <col min="2" max="2" width="16.140625" bestFit="1" customWidth="1"/>
    <col min="3" max="3" width="10.7109375" customWidth="1"/>
    <col min="4" max="4" width="15.140625" bestFit="1" customWidth="1"/>
    <col min="5" max="10" width="14.5703125" bestFit="1" customWidth="1"/>
    <col min="11" max="12" width="16.140625" bestFit="1" customWidth="1"/>
    <col min="13" max="14" width="14.5703125" bestFit="1" customWidth="1"/>
    <col min="15" max="15" width="2.7109375" customWidth="1"/>
    <col min="16" max="16" width="16.140625" bestFit="1" customWidth="1"/>
  </cols>
  <sheetData>
    <row r="1" spans="1:15" x14ac:dyDescent="0.2">
      <c r="A1" s="21" t="s">
        <v>37</v>
      </c>
    </row>
    <row r="2" spans="1:15" x14ac:dyDescent="0.2">
      <c r="D2" s="1"/>
      <c r="E2" s="1"/>
      <c r="F2" s="1"/>
      <c r="G2" s="1"/>
      <c r="H2" s="1"/>
      <c r="I2" s="1"/>
      <c r="J2" s="1"/>
      <c r="K2" s="1"/>
      <c r="L2" s="1"/>
      <c r="M2" s="1"/>
      <c r="N2" s="1"/>
    </row>
    <row r="3" spans="1:15" x14ac:dyDescent="0.2">
      <c r="D3" s="1"/>
      <c r="E3" s="1"/>
      <c r="F3" s="1"/>
      <c r="G3" s="1"/>
      <c r="H3" s="1"/>
      <c r="I3" s="1"/>
      <c r="J3" s="1"/>
      <c r="K3" s="1"/>
      <c r="L3" s="1"/>
      <c r="M3" s="1"/>
      <c r="N3" s="1"/>
    </row>
    <row r="4" spans="1:15" s="92" customFormat="1" x14ac:dyDescent="0.2">
      <c r="A4" s="92" t="s">
        <v>0</v>
      </c>
      <c r="B4" s="92">
        <v>100</v>
      </c>
      <c r="D4" s="93">
        <f>$B$4*'A2 - Faktorer'!B6</f>
        <v>100</v>
      </c>
      <c r="E4" s="93">
        <f>$B$4*'A2 - Faktorer'!C6</f>
        <v>102.49999999999999</v>
      </c>
      <c r="F4" s="93">
        <f>$B$4*'A2 - Faktorer'!D6</f>
        <v>105.06249999999999</v>
      </c>
      <c r="G4" s="93">
        <f>$B$4*'A2 - Faktorer'!E6</f>
        <v>107.68906249999999</v>
      </c>
      <c r="H4" s="93">
        <f>$B$4*'A2 - Faktorer'!F6</f>
        <v>110.38128906249997</v>
      </c>
      <c r="I4" s="93">
        <f>$B$4*'A2 - Faktorer'!G6</f>
        <v>113.14082128906247</v>
      </c>
      <c r="J4" s="93">
        <f>$B$4*'A2 - Faktorer'!H6</f>
        <v>115.96934182128902</v>
      </c>
      <c r="K4" s="93">
        <f>$B$4*'A2 - Faktorer'!I6</f>
        <v>118.86857536682123</v>
      </c>
      <c r="L4" s="93">
        <f>$B$4*'A2 - Faktorer'!J6</f>
        <v>121.84028975099174</v>
      </c>
      <c r="M4" s="93">
        <f>$B$4*'A2 - Faktorer'!K6</f>
        <v>124.88629699476652</v>
      </c>
      <c r="N4" s="93">
        <f>$B$4*'A2 - Faktorer'!L6</f>
        <v>128.00845441963565</v>
      </c>
      <c r="O4" s="93"/>
    </row>
    <row r="6" spans="1:15" x14ac:dyDescent="0.2">
      <c r="A6" t="s">
        <v>18</v>
      </c>
      <c r="B6" s="2">
        <v>12000000</v>
      </c>
      <c r="D6" s="2">
        <f>$B$6*'A2 - Faktorer'!B14</f>
        <v>12000000</v>
      </c>
      <c r="E6" s="2">
        <f>$B$6*'A2 - Faktorer'!C14</f>
        <v>12299999.999999998</v>
      </c>
      <c r="F6" s="2">
        <f>$B$6*'A2 - Faktorer'!D14</f>
        <v>12607499.999999998</v>
      </c>
      <c r="G6" s="2">
        <f>$B$6*'A2 - Faktorer'!E14</f>
        <v>12922687.499999998</v>
      </c>
      <c r="H6" s="2">
        <f>$B$6*'A2 - Faktorer'!F14</f>
        <v>13245754.687499996</v>
      </c>
      <c r="I6" s="2">
        <f>$B$6*'A2 - Faktorer'!G14</f>
        <v>13576898.554687496</v>
      </c>
      <c r="J6" s="2">
        <f>$B$6*'A2 - Faktorer'!H14</f>
        <v>13916321.018554682</v>
      </c>
      <c r="K6" s="2">
        <f>$B$6*'A2 - Faktorer'!I14</f>
        <v>14264229.044018548</v>
      </c>
      <c r="L6" s="2">
        <f>$B$6*'A2 - Faktorer'!J14</f>
        <v>14620834.77011901</v>
      </c>
      <c r="M6" s="2">
        <f>$B$6*'A2 - Faktorer'!K14</f>
        <v>14986355.639371982</v>
      </c>
      <c r="N6" s="2">
        <f>$B$6*'A2 - Faktorer'!L14</f>
        <v>15361014.530356281</v>
      </c>
    </row>
    <row r="7" spans="1:15" x14ac:dyDescent="0.2">
      <c r="A7" t="s">
        <v>36</v>
      </c>
      <c r="B7" s="2">
        <v>12000000</v>
      </c>
      <c r="D7" s="2">
        <f>$B$7*'A2 - Faktorer'!B14</f>
        <v>12000000</v>
      </c>
      <c r="E7" s="2">
        <f>$B$7*'A2 - Faktorer'!C14</f>
        <v>12299999.999999998</v>
      </c>
      <c r="F7" s="2">
        <f>$B$7*'A2 - Faktorer'!D14</f>
        <v>12607499.999999998</v>
      </c>
      <c r="G7" s="2">
        <f>$B$7*'A2 - Faktorer'!E14</f>
        <v>12922687.499999998</v>
      </c>
      <c r="H7" s="2"/>
      <c r="I7" s="2"/>
      <c r="J7" s="2"/>
      <c r="K7" s="2"/>
      <c r="L7" s="2"/>
      <c r="M7" s="2"/>
      <c r="N7" s="2"/>
    </row>
    <row r="8" spans="1:15" x14ac:dyDescent="0.2">
      <c r="B8" s="2"/>
      <c r="D8" s="2"/>
      <c r="E8" s="2"/>
      <c r="F8" s="2"/>
      <c r="G8" s="2"/>
      <c r="H8" s="2"/>
      <c r="I8" s="2"/>
      <c r="J8" s="2"/>
      <c r="K8" s="2"/>
      <c r="L8" s="2"/>
      <c r="M8" s="2"/>
      <c r="N8" s="2"/>
    </row>
    <row r="9" spans="1:15" x14ac:dyDescent="0.2">
      <c r="D9" s="2"/>
    </row>
    <row r="10" spans="1:15" x14ac:dyDescent="0.2">
      <c r="A10" t="s">
        <v>24</v>
      </c>
      <c r="B10" s="3">
        <f>B6/12</f>
        <v>1000000</v>
      </c>
      <c r="D10" s="2">
        <f>(D6/12)+(D7/12)</f>
        <v>2000000</v>
      </c>
      <c r="E10" s="2">
        <f t="shared" ref="E10:N10" si="0">(E6/12)+(E7/12)</f>
        <v>2049999.9999999998</v>
      </c>
      <c r="F10" s="2">
        <f>(F6/12)+(F7/12)</f>
        <v>2101249.9999999995</v>
      </c>
      <c r="G10" s="2">
        <f t="shared" si="0"/>
        <v>2153781.2499999995</v>
      </c>
      <c r="H10" s="2">
        <f t="shared" si="0"/>
        <v>1103812.8906249998</v>
      </c>
      <c r="I10" s="2">
        <f t="shared" si="0"/>
        <v>1131408.2128906248</v>
      </c>
      <c r="J10" s="2">
        <f t="shared" si="0"/>
        <v>1159693.4182128902</v>
      </c>
      <c r="K10" s="2">
        <f t="shared" si="0"/>
        <v>1188685.7536682123</v>
      </c>
      <c r="L10" s="2">
        <f t="shared" si="0"/>
        <v>1218402.8975099174</v>
      </c>
      <c r="M10" s="2">
        <f t="shared" si="0"/>
        <v>1248862.9699476652</v>
      </c>
      <c r="N10" s="2">
        <f t="shared" si="0"/>
        <v>1280084.5441963568</v>
      </c>
    </row>
    <row r="12" spans="1:15" ht="13.5" thickBot="1" x14ac:dyDescent="0.25"/>
    <row r="13" spans="1:15" ht="13.5" thickBot="1" x14ac:dyDescent="0.25">
      <c r="C13" s="190" t="s">
        <v>38</v>
      </c>
      <c r="D13" s="191"/>
      <c r="E13" s="191"/>
      <c r="F13" s="191"/>
      <c r="G13" s="191"/>
      <c r="H13" s="191"/>
      <c r="I13" s="191"/>
      <c r="J13" s="191"/>
      <c r="K13" s="191"/>
      <c r="L13" s="191"/>
      <c r="M13" s="191"/>
      <c r="N13" s="192"/>
    </row>
    <row r="14" spans="1:15" x14ac:dyDescent="0.2">
      <c r="A14" s="193" t="s">
        <v>30</v>
      </c>
      <c r="C14" s="4"/>
      <c r="D14" s="5"/>
      <c r="E14" s="5"/>
      <c r="F14" s="5"/>
      <c r="G14" s="5"/>
      <c r="H14" s="5"/>
      <c r="I14" s="5"/>
      <c r="J14" s="5"/>
      <c r="K14" s="5"/>
      <c r="L14" s="5"/>
      <c r="M14" s="5"/>
      <c r="N14" s="6"/>
    </row>
    <row r="15" spans="1:15" x14ac:dyDescent="0.2">
      <c r="A15" s="193"/>
      <c r="C15" s="35" t="s">
        <v>2</v>
      </c>
      <c r="D15" s="36">
        <v>2019</v>
      </c>
      <c r="E15" s="36">
        <v>2020</v>
      </c>
      <c r="F15" s="36">
        <v>2021</v>
      </c>
      <c r="G15" s="36">
        <v>2022</v>
      </c>
      <c r="H15" s="36">
        <v>2023</v>
      </c>
      <c r="I15" s="36">
        <v>2024</v>
      </c>
      <c r="J15" s="36">
        <v>2025</v>
      </c>
      <c r="K15" s="36">
        <v>2026</v>
      </c>
      <c r="L15" s="36">
        <v>2027</v>
      </c>
      <c r="M15" s="36">
        <v>2028</v>
      </c>
      <c r="N15" s="37">
        <v>2029</v>
      </c>
    </row>
    <row r="16" spans="1:15" x14ac:dyDescent="0.2">
      <c r="A16" s="193"/>
      <c r="C16" s="4" t="s">
        <v>3</v>
      </c>
      <c r="D16" s="27" t="s">
        <v>17</v>
      </c>
      <c r="E16" s="43">
        <v>0.12</v>
      </c>
      <c r="F16" s="43">
        <v>0.13</v>
      </c>
      <c r="G16" s="43">
        <v>0.2</v>
      </c>
      <c r="H16" s="43">
        <v>0.3</v>
      </c>
      <c r="I16" s="43">
        <v>0.4</v>
      </c>
      <c r="J16" s="43">
        <v>0.5</v>
      </c>
      <c r="K16" s="43">
        <v>0.6</v>
      </c>
      <c r="L16" s="66">
        <v>0.8</v>
      </c>
      <c r="M16" s="43">
        <v>0.9</v>
      </c>
      <c r="N16" s="45">
        <v>1</v>
      </c>
    </row>
    <row r="17" spans="1:14" x14ac:dyDescent="0.2">
      <c r="A17" s="193"/>
      <c r="C17" s="4" t="s">
        <v>4</v>
      </c>
      <c r="D17" s="27" t="s">
        <v>17</v>
      </c>
      <c r="E17" s="43">
        <v>0.12</v>
      </c>
      <c r="F17" s="43">
        <v>0.13</v>
      </c>
      <c r="G17" s="43">
        <v>0.2</v>
      </c>
      <c r="H17" s="43">
        <v>0.3</v>
      </c>
      <c r="I17" s="43">
        <v>0.4</v>
      </c>
      <c r="J17" s="43">
        <v>0.5</v>
      </c>
      <c r="K17" s="43">
        <v>0.6</v>
      </c>
      <c r="L17" s="66">
        <v>0.8</v>
      </c>
      <c r="M17" s="43">
        <v>0.9</v>
      </c>
      <c r="N17" s="45">
        <v>1</v>
      </c>
    </row>
    <row r="18" spans="1:14" x14ac:dyDescent="0.2">
      <c r="A18" s="193"/>
      <c r="C18" s="4" t="s">
        <v>5</v>
      </c>
      <c r="D18" s="27" t="s">
        <v>17</v>
      </c>
      <c r="E18" s="43">
        <v>0.12</v>
      </c>
      <c r="F18" s="43">
        <v>0.13</v>
      </c>
      <c r="G18" s="43">
        <v>0.2</v>
      </c>
      <c r="H18" s="43">
        <v>0.3</v>
      </c>
      <c r="I18" s="43">
        <v>0.4</v>
      </c>
      <c r="J18" s="43">
        <v>0.5</v>
      </c>
      <c r="K18" s="43">
        <v>0.6</v>
      </c>
      <c r="L18" s="66">
        <v>0.8</v>
      </c>
      <c r="M18" s="43">
        <v>0.9</v>
      </c>
      <c r="N18" s="45">
        <v>1</v>
      </c>
    </row>
    <row r="19" spans="1:14" x14ac:dyDescent="0.2">
      <c r="A19" s="193"/>
      <c r="C19" s="4" t="s">
        <v>6</v>
      </c>
      <c r="D19" s="27" t="s">
        <v>17</v>
      </c>
      <c r="E19" s="43">
        <v>0.12</v>
      </c>
      <c r="F19" s="43">
        <v>0.13</v>
      </c>
      <c r="G19" s="43">
        <v>0.2</v>
      </c>
      <c r="H19" s="43">
        <v>0.3</v>
      </c>
      <c r="I19" s="43">
        <v>0.4</v>
      </c>
      <c r="J19" s="43">
        <v>0.5</v>
      </c>
      <c r="K19" s="43">
        <v>0.6</v>
      </c>
      <c r="L19" s="66">
        <v>0.8</v>
      </c>
      <c r="M19" s="43">
        <v>0.9</v>
      </c>
      <c r="N19" s="45">
        <v>1</v>
      </c>
    </row>
    <row r="20" spans="1:14" x14ac:dyDescent="0.2">
      <c r="A20" s="193"/>
      <c r="C20" s="4" t="s">
        <v>7</v>
      </c>
      <c r="D20" s="27" t="s">
        <v>17</v>
      </c>
      <c r="E20" s="43">
        <v>0.12</v>
      </c>
      <c r="F20" s="43">
        <v>0.13</v>
      </c>
      <c r="G20" s="43">
        <v>0.3</v>
      </c>
      <c r="H20" s="43">
        <v>0.3</v>
      </c>
      <c r="I20" s="43">
        <v>0.4</v>
      </c>
      <c r="J20" s="43">
        <v>0.5</v>
      </c>
      <c r="K20" s="43">
        <v>0.6</v>
      </c>
      <c r="L20" s="66">
        <v>0.8</v>
      </c>
      <c r="M20" s="43">
        <v>0.9</v>
      </c>
      <c r="N20" s="45">
        <v>1</v>
      </c>
    </row>
    <row r="21" spans="1:14" ht="13.5" thickBot="1" x14ac:dyDescent="0.25">
      <c r="A21" s="193"/>
      <c r="C21" s="4" t="s">
        <v>8</v>
      </c>
      <c r="D21" s="43">
        <v>0.1</v>
      </c>
      <c r="E21" s="43">
        <v>0.12</v>
      </c>
      <c r="F21" s="43">
        <v>0.13</v>
      </c>
      <c r="G21" s="43">
        <v>0.3</v>
      </c>
      <c r="H21" s="43">
        <v>0.3</v>
      </c>
      <c r="I21" s="43">
        <v>0.4</v>
      </c>
      <c r="J21" s="43">
        <v>0.5</v>
      </c>
      <c r="K21" s="43">
        <v>0.6</v>
      </c>
      <c r="L21" s="66">
        <v>0.8</v>
      </c>
      <c r="M21" s="43">
        <v>0.9</v>
      </c>
      <c r="N21" s="45">
        <v>1</v>
      </c>
    </row>
    <row r="22" spans="1:14" x14ac:dyDescent="0.2">
      <c r="A22" s="193"/>
      <c r="C22" s="4" t="s">
        <v>9</v>
      </c>
      <c r="D22" s="43">
        <v>0.1</v>
      </c>
      <c r="E22" s="43">
        <v>0.12</v>
      </c>
      <c r="F22" s="43">
        <v>0.13</v>
      </c>
      <c r="G22" s="43">
        <v>0.3</v>
      </c>
      <c r="H22" s="43">
        <v>0.4</v>
      </c>
      <c r="I22" s="43">
        <v>0.4</v>
      </c>
      <c r="J22" s="43">
        <v>0.5</v>
      </c>
      <c r="K22" s="65">
        <v>0.6</v>
      </c>
      <c r="L22" s="43">
        <v>0.8</v>
      </c>
      <c r="M22" s="43">
        <v>0.9</v>
      </c>
      <c r="N22" s="31" t="s">
        <v>17</v>
      </c>
    </row>
    <row r="23" spans="1:14" x14ac:dyDescent="0.2">
      <c r="A23" s="193"/>
      <c r="C23" s="4" t="s">
        <v>10</v>
      </c>
      <c r="D23" s="43">
        <v>0.1</v>
      </c>
      <c r="E23" s="43">
        <v>0.12</v>
      </c>
      <c r="F23" s="43">
        <v>0.13</v>
      </c>
      <c r="G23" s="43">
        <v>0.3</v>
      </c>
      <c r="H23" s="43">
        <v>0.4</v>
      </c>
      <c r="I23" s="43">
        <v>0.4</v>
      </c>
      <c r="J23" s="43">
        <v>0.5</v>
      </c>
      <c r="K23" s="66">
        <v>0.6</v>
      </c>
      <c r="L23" s="43">
        <v>0.8</v>
      </c>
      <c r="M23" s="43">
        <v>0.9</v>
      </c>
      <c r="N23" s="31" t="s">
        <v>17</v>
      </c>
    </row>
    <row r="24" spans="1:14" x14ac:dyDescent="0.2">
      <c r="A24" s="193"/>
      <c r="C24" s="4" t="s">
        <v>11</v>
      </c>
      <c r="D24" s="43">
        <v>0.1</v>
      </c>
      <c r="E24" s="43">
        <v>0.12</v>
      </c>
      <c r="F24" s="43">
        <v>0.13</v>
      </c>
      <c r="G24" s="43">
        <v>0.3</v>
      </c>
      <c r="H24" s="43">
        <v>0.4</v>
      </c>
      <c r="I24" s="43">
        <v>0.4</v>
      </c>
      <c r="J24" s="43">
        <v>0.5</v>
      </c>
      <c r="K24" s="66">
        <v>0.6</v>
      </c>
      <c r="L24" s="43">
        <v>0.8</v>
      </c>
      <c r="M24" s="43">
        <v>0.9</v>
      </c>
      <c r="N24" s="32" t="s">
        <v>17</v>
      </c>
    </row>
    <row r="25" spans="1:14" x14ac:dyDescent="0.2">
      <c r="A25" s="193"/>
      <c r="C25" s="4" t="s">
        <v>12</v>
      </c>
      <c r="D25" s="43">
        <v>0.1</v>
      </c>
      <c r="E25" s="43">
        <v>0.12</v>
      </c>
      <c r="F25" s="43">
        <v>0.13</v>
      </c>
      <c r="G25" s="43">
        <v>0.3</v>
      </c>
      <c r="H25" s="43">
        <v>0.4</v>
      </c>
      <c r="I25" s="43">
        <v>0.4</v>
      </c>
      <c r="J25" s="43">
        <v>0.5</v>
      </c>
      <c r="K25" s="66">
        <v>0.6</v>
      </c>
      <c r="L25" s="43">
        <v>0.8</v>
      </c>
      <c r="M25" s="43">
        <v>0.9</v>
      </c>
      <c r="N25" s="32" t="s">
        <v>17</v>
      </c>
    </row>
    <row r="26" spans="1:14" x14ac:dyDescent="0.2">
      <c r="A26" s="193"/>
      <c r="C26" s="4" t="s">
        <v>13</v>
      </c>
      <c r="D26" s="43">
        <v>0.1</v>
      </c>
      <c r="E26" s="43">
        <v>0.12</v>
      </c>
      <c r="F26" s="43">
        <v>0.13</v>
      </c>
      <c r="G26" s="43">
        <v>0.3</v>
      </c>
      <c r="H26" s="43">
        <v>0.4</v>
      </c>
      <c r="I26" s="43">
        <v>0.4</v>
      </c>
      <c r="J26" s="43">
        <v>0.5</v>
      </c>
      <c r="K26" s="66">
        <v>0.6</v>
      </c>
      <c r="L26" s="43">
        <v>0.8</v>
      </c>
      <c r="M26" s="43">
        <v>0.9</v>
      </c>
      <c r="N26" s="32" t="s">
        <v>17</v>
      </c>
    </row>
    <row r="27" spans="1:14" ht="13.5" thickBot="1" x14ac:dyDescent="0.25">
      <c r="A27" s="193"/>
      <c r="C27" s="7" t="s">
        <v>14</v>
      </c>
      <c r="D27" s="44">
        <v>0.1</v>
      </c>
      <c r="E27" s="44">
        <v>0.12</v>
      </c>
      <c r="F27" s="44">
        <v>0.13</v>
      </c>
      <c r="G27" s="44">
        <v>0.3</v>
      </c>
      <c r="H27" s="44">
        <v>0.4</v>
      </c>
      <c r="I27" s="44">
        <v>0.4</v>
      </c>
      <c r="J27" s="44">
        <v>0.5</v>
      </c>
      <c r="K27" s="67">
        <v>0.6</v>
      </c>
      <c r="L27" s="44">
        <v>0.8</v>
      </c>
      <c r="M27" s="44">
        <v>0.9</v>
      </c>
      <c r="N27" s="34" t="s">
        <v>17</v>
      </c>
    </row>
    <row r="29" spans="1:14" ht="13.5" thickBot="1" x14ac:dyDescent="0.25"/>
    <row r="30" spans="1:14" ht="13.5" thickBot="1" x14ac:dyDescent="0.25">
      <c r="C30" s="190" t="s">
        <v>39</v>
      </c>
      <c r="D30" s="191"/>
      <c r="E30" s="191"/>
      <c r="F30" s="191"/>
      <c r="G30" s="191"/>
      <c r="H30" s="191"/>
      <c r="I30" s="191"/>
      <c r="J30" s="191"/>
      <c r="K30" s="191"/>
      <c r="L30" s="191"/>
      <c r="M30" s="191"/>
      <c r="N30" s="192"/>
    </row>
    <row r="31" spans="1:14" x14ac:dyDescent="0.2">
      <c r="C31" s="4"/>
      <c r="D31" s="5"/>
      <c r="E31" s="5"/>
      <c r="F31" s="5"/>
      <c r="G31" s="5"/>
      <c r="H31" s="5"/>
      <c r="I31" s="5"/>
      <c r="J31" s="5"/>
      <c r="K31" s="5"/>
      <c r="L31" s="5"/>
      <c r="M31" s="5"/>
      <c r="N31" s="6"/>
    </row>
    <row r="32" spans="1:14" x14ac:dyDescent="0.2">
      <c r="C32" s="35" t="s">
        <v>2</v>
      </c>
      <c r="D32" s="36">
        <v>2019</v>
      </c>
      <c r="E32" s="36">
        <v>2020</v>
      </c>
      <c r="F32" s="36">
        <v>2021</v>
      </c>
      <c r="G32" s="36">
        <v>2022</v>
      </c>
      <c r="H32" s="36">
        <v>2023</v>
      </c>
      <c r="I32" s="36">
        <v>2024</v>
      </c>
      <c r="J32" s="36">
        <v>2025</v>
      </c>
      <c r="K32" s="36">
        <v>2026</v>
      </c>
      <c r="L32" s="36">
        <v>2027</v>
      </c>
      <c r="M32" s="36">
        <v>2028</v>
      </c>
      <c r="N32" s="37">
        <v>2029</v>
      </c>
    </row>
    <row r="33" spans="3:16" x14ac:dyDescent="0.2">
      <c r="C33" s="4" t="s">
        <v>3</v>
      </c>
      <c r="D33" s="24" t="s">
        <v>17</v>
      </c>
      <c r="E33" s="26">
        <f t="shared" ref="E33:M37" si="1">E$10*E16</f>
        <v>245999.99999999997</v>
      </c>
      <c r="F33" s="26">
        <f t="shared" si="1"/>
        <v>273162.49999999994</v>
      </c>
      <c r="G33" s="26">
        <f t="shared" si="1"/>
        <v>430756.24999999994</v>
      </c>
      <c r="H33" s="26">
        <f t="shared" si="1"/>
        <v>331143.86718749994</v>
      </c>
      <c r="I33" s="26">
        <f t="shared" si="1"/>
        <v>452563.28515624994</v>
      </c>
      <c r="J33" s="26">
        <f t="shared" si="1"/>
        <v>579846.70910644508</v>
      </c>
      <c r="K33" s="26">
        <f t="shared" si="1"/>
        <v>713211.45220092742</v>
      </c>
      <c r="L33" s="26">
        <f t="shared" si="1"/>
        <v>974722.31800793391</v>
      </c>
      <c r="M33" s="26">
        <f t="shared" si="1"/>
        <v>1123976.6729528988</v>
      </c>
      <c r="N33" s="9">
        <f t="shared" ref="N33:N38" si="2">N16*N$10</f>
        <v>1280084.5441963568</v>
      </c>
    </row>
    <row r="34" spans="3:16" x14ac:dyDescent="0.2">
      <c r="C34" s="4" t="s">
        <v>4</v>
      </c>
      <c r="D34" s="24" t="s">
        <v>17</v>
      </c>
      <c r="E34" s="26">
        <f t="shared" si="1"/>
        <v>245999.99999999997</v>
      </c>
      <c r="F34" s="26">
        <f t="shared" si="1"/>
        <v>273162.49999999994</v>
      </c>
      <c r="G34" s="26">
        <f t="shared" si="1"/>
        <v>430756.24999999994</v>
      </c>
      <c r="H34" s="26">
        <f t="shared" si="1"/>
        <v>331143.86718749994</v>
      </c>
      <c r="I34" s="26">
        <f t="shared" si="1"/>
        <v>452563.28515624994</v>
      </c>
      <c r="J34" s="26">
        <f t="shared" si="1"/>
        <v>579846.70910644508</v>
      </c>
      <c r="K34" s="26">
        <f t="shared" si="1"/>
        <v>713211.45220092742</v>
      </c>
      <c r="L34" s="26">
        <f t="shared" si="1"/>
        <v>974722.31800793391</v>
      </c>
      <c r="M34" s="26">
        <f t="shared" si="1"/>
        <v>1123976.6729528988</v>
      </c>
      <c r="N34" s="9">
        <f t="shared" si="2"/>
        <v>1280084.5441963568</v>
      </c>
    </row>
    <row r="35" spans="3:16" x14ac:dyDescent="0.2">
      <c r="C35" s="4" t="s">
        <v>5</v>
      </c>
      <c r="D35" s="24" t="s">
        <v>17</v>
      </c>
      <c r="E35" s="26">
        <f t="shared" si="1"/>
        <v>245999.99999999997</v>
      </c>
      <c r="F35" s="26">
        <f t="shared" si="1"/>
        <v>273162.49999999994</v>
      </c>
      <c r="G35" s="26">
        <f t="shared" si="1"/>
        <v>430756.24999999994</v>
      </c>
      <c r="H35" s="26">
        <f t="shared" si="1"/>
        <v>331143.86718749994</v>
      </c>
      <c r="I35" s="26">
        <f t="shared" si="1"/>
        <v>452563.28515624994</v>
      </c>
      <c r="J35" s="26">
        <f t="shared" si="1"/>
        <v>579846.70910644508</v>
      </c>
      <c r="K35" s="26">
        <f t="shared" si="1"/>
        <v>713211.45220092742</v>
      </c>
      <c r="L35" s="26">
        <f t="shared" si="1"/>
        <v>974722.31800793391</v>
      </c>
      <c r="M35" s="26">
        <f t="shared" si="1"/>
        <v>1123976.6729528988</v>
      </c>
      <c r="N35" s="9">
        <f t="shared" si="2"/>
        <v>1280084.5441963568</v>
      </c>
    </row>
    <row r="36" spans="3:16" x14ac:dyDescent="0.2">
      <c r="C36" s="4" t="s">
        <v>6</v>
      </c>
      <c r="D36" s="24" t="s">
        <v>17</v>
      </c>
      <c r="E36" s="26">
        <f t="shared" si="1"/>
        <v>245999.99999999997</v>
      </c>
      <c r="F36" s="26">
        <f t="shared" si="1"/>
        <v>273162.49999999994</v>
      </c>
      <c r="G36" s="26">
        <f t="shared" si="1"/>
        <v>430756.24999999994</v>
      </c>
      <c r="H36" s="26">
        <f t="shared" si="1"/>
        <v>331143.86718749994</v>
      </c>
      <c r="I36" s="26">
        <f t="shared" si="1"/>
        <v>452563.28515624994</v>
      </c>
      <c r="J36" s="26">
        <f t="shared" si="1"/>
        <v>579846.70910644508</v>
      </c>
      <c r="K36" s="26">
        <f t="shared" si="1"/>
        <v>713211.45220092742</v>
      </c>
      <c r="L36" s="26">
        <f t="shared" si="1"/>
        <v>974722.31800793391</v>
      </c>
      <c r="M36" s="26">
        <f t="shared" si="1"/>
        <v>1123976.6729528988</v>
      </c>
      <c r="N36" s="9">
        <f t="shared" si="2"/>
        <v>1280084.5441963568</v>
      </c>
    </row>
    <row r="37" spans="3:16" x14ac:dyDescent="0.2">
      <c r="C37" s="4" t="s">
        <v>7</v>
      </c>
      <c r="D37" s="24" t="s">
        <v>17</v>
      </c>
      <c r="E37" s="26">
        <f t="shared" si="1"/>
        <v>245999.99999999997</v>
      </c>
      <c r="F37" s="26">
        <f t="shared" si="1"/>
        <v>273162.49999999994</v>
      </c>
      <c r="G37" s="26">
        <f t="shared" si="1"/>
        <v>646134.37499999988</v>
      </c>
      <c r="H37" s="26">
        <f t="shared" si="1"/>
        <v>331143.86718749994</v>
      </c>
      <c r="I37" s="26">
        <f t="shared" si="1"/>
        <v>452563.28515624994</v>
      </c>
      <c r="J37" s="26">
        <f t="shared" si="1"/>
        <v>579846.70910644508</v>
      </c>
      <c r="K37" s="26">
        <f t="shared" si="1"/>
        <v>713211.45220092742</v>
      </c>
      <c r="L37" s="26">
        <f t="shared" si="1"/>
        <v>974722.31800793391</v>
      </c>
      <c r="M37" s="26">
        <f t="shared" si="1"/>
        <v>1123976.6729528988</v>
      </c>
      <c r="N37" s="9">
        <f t="shared" si="2"/>
        <v>1280084.5441963568</v>
      </c>
    </row>
    <row r="38" spans="3:16" x14ac:dyDescent="0.2">
      <c r="C38" s="4" t="s">
        <v>8</v>
      </c>
      <c r="D38" s="26">
        <f>D$10*D$21</f>
        <v>200000</v>
      </c>
      <c r="E38" s="26">
        <f>E$10*E21</f>
        <v>245999.99999999997</v>
      </c>
      <c r="F38" s="26">
        <f t="shared" ref="F38:M38" si="3">F$10*F21</f>
        <v>273162.49999999994</v>
      </c>
      <c r="G38" s="26">
        <f t="shared" si="3"/>
        <v>646134.37499999988</v>
      </c>
      <c r="H38" s="26">
        <f t="shared" si="3"/>
        <v>331143.86718749994</v>
      </c>
      <c r="I38" s="26">
        <f t="shared" si="3"/>
        <v>452563.28515624994</v>
      </c>
      <c r="J38" s="26">
        <f t="shared" si="3"/>
        <v>579846.70910644508</v>
      </c>
      <c r="K38" s="26">
        <f t="shared" si="3"/>
        <v>713211.45220092742</v>
      </c>
      <c r="L38" s="26">
        <f t="shared" si="3"/>
        <v>974722.31800793391</v>
      </c>
      <c r="M38" s="26">
        <f t="shared" si="3"/>
        <v>1123976.6729528988</v>
      </c>
      <c r="N38" s="9">
        <f t="shared" si="2"/>
        <v>1280084.5441963568</v>
      </c>
    </row>
    <row r="39" spans="3:16" x14ac:dyDescent="0.2">
      <c r="C39" s="4" t="s">
        <v>9</v>
      </c>
      <c r="D39" s="26">
        <f t="shared" ref="D39:E44" si="4">D$10*D22</f>
        <v>200000</v>
      </c>
      <c r="E39" s="26">
        <f t="shared" si="4"/>
        <v>245999.99999999997</v>
      </c>
      <c r="F39" s="26">
        <f t="shared" ref="F39:M39" si="5">F$10*F22</f>
        <v>273162.49999999994</v>
      </c>
      <c r="G39" s="26">
        <f t="shared" si="5"/>
        <v>646134.37499999988</v>
      </c>
      <c r="H39" s="26">
        <f t="shared" si="5"/>
        <v>441525.15624999994</v>
      </c>
      <c r="I39" s="26">
        <f t="shared" si="5"/>
        <v>452563.28515624994</v>
      </c>
      <c r="J39" s="26">
        <f t="shared" si="5"/>
        <v>579846.70910644508</v>
      </c>
      <c r="K39" s="26">
        <f t="shared" si="5"/>
        <v>713211.45220092742</v>
      </c>
      <c r="L39" s="26">
        <f t="shared" si="5"/>
        <v>974722.31800793391</v>
      </c>
      <c r="M39" s="26">
        <f t="shared" si="5"/>
        <v>1123976.6729528988</v>
      </c>
      <c r="N39" s="25" t="s">
        <v>17</v>
      </c>
    </row>
    <row r="40" spans="3:16" x14ac:dyDescent="0.2">
      <c r="C40" s="4" t="s">
        <v>10</v>
      </c>
      <c r="D40" s="26">
        <f t="shared" si="4"/>
        <v>200000</v>
      </c>
      <c r="E40" s="26">
        <f t="shared" si="4"/>
        <v>245999.99999999997</v>
      </c>
      <c r="F40" s="26">
        <f t="shared" ref="F40:M40" si="6">F$10*F23</f>
        <v>273162.49999999994</v>
      </c>
      <c r="G40" s="26">
        <f t="shared" si="6"/>
        <v>646134.37499999988</v>
      </c>
      <c r="H40" s="26">
        <f t="shared" si="6"/>
        <v>441525.15624999994</v>
      </c>
      <c r="I40" s="26">
        <f t="shared" si="6"/>
        <v>452563.28515624994</v>
      </c>
      <c r="J40" s="26">
        <f t="shared" si="6"/>
        <v>579846.70910644508</v>
      </c>
      <c r="K40" s="26">
        <f t="shared" si="6"/>
        <v>713211.45220092742</v>
      </c>
      <c r="L40" s="26">
        <f t="shared" si="6"/>
        <v>974722.31800793391</v>
      </c>
      <c r="M40" s="26">
        <f t="shared" si="6"/>
        <v>1123976.6729528988</v>
      </c>
      <c r="N40" s="25" t="s">
        <v>17</v>
      </c>
    </row>
    <row r="41" spans="3:16" x14ac:dyDescent="0.2">
      <c r="C41" s="4" t="s">
        <v>11</v>
      </c>
      <c r="D41" s="26">
        <f t="shared" si="4"/>
        <v>200000</v>
      </c>
      <c r="E41" s="26">
        <f t="shared" si="4"/>
        <v>245999.99999999997</v>
      </c>
      <c r="F41" s="26">
        <f t="shared" ref="F41:M41" si="7">F$10*F24</f>
        <v>273162.49999999994</v>
      </c>
      <c r="G41" s="26">
        <f t="shared" si="7"/>
        <v>646134.37499999988</v>
      </c>
      <c r="H41" s="26">
        <f t="shared" si="7"/>
        <v>441525.15624999994</v>
      </c>
      <c r="I41" s="26">
        <f t="shared" si="7"/>
        <v>452563.28515624994</v>
      </c>
      <c r="J41" s="26">
        <f t="shared" si="7"/>
        <v>579846.70910644508</v>
      </c>
      <c r="K41" s="26">
        <f t="shared" si="7"/>
        <v>713211.45220092742</v>
      </c>
      <c r="L41" s="26">
        <f t="shared" si="7"/>
        <v>974722.31800793391</v>
      </c>
      <c r="M41" s="26">
        <f t="shared" si="7"/>
        <v>1123976.6729528988</v>
      </c>
      <c r="N41" s="25" t="s">
        <v>17</v>
      </c>
    </row>
    <row r="42" spans="3:16" x14ac:dyDescent="0.2">
      <c r="C42" s="4" t="s">
        <v>12</v>
      </c>
      <c r="D42" s="26">
        <f t="shared" si="4"/>
        <v>200000</v>
      </c>
      <c r="E42" s="26">
        <f t="shared" si="4"/>
        <v>245999.99999999997</v>
      </c>
      <c r="F42" s="26">
        <f t="shared" ref="F42:M42" si="8">F$10*F25</f>
        <v>273162.49999999994</v>
      </c>
      <c r="G42" s="26">
        <f t="shared" si="8"/>
        <v>646134.37499999988</v>
      </c>
      <c r="H42" s="26">
        <f t="shared" si="8"/>
        <v>441525.15624999994</v>
      </c>
      <c r="I42" s="26">
        <f t="shared" si="8"/>
        <v>452563.28515624994</v>
      </c>
      <c r="J42" s="26">
        <f t="shared" si="8"/>
        <v>579846.70910644508</v>
      </c>
      <c r="K42" s="26">
        <f t="shared" si="8"/>
        <v>713211.45220092742</v>
      </c>
      <c r="L42" s="26">
        <f t="shared" si="8"/>
        <v>974722.31800793391</v>
      </c>
      <c r="M42" s="26">
        <f t="shared" si="8"/>
        <v>1123976.6729528988</v>
      </c>
      <c r="N42" s="25" t="s">
        <v>17</v>
      </c>
    </row>
    <row r="43" spans="3:16" x14ac:dyDescent="0.2">
      <c r="C43" s="4" t="s">
        <v>13</v>
      </c>
      <c r="D43" s="26">
        <f t="shared" si="4"/>
        <v>200000</v>
      </c>
      <c r="E43" s="26">
        <f t="shared" si="4"/>
        <v>245999.99999999997</v>
      </c>
      <c r="F43" s="26">
        <f t="shared" ref="F43:M43" si="9">F$10*F26</f>
        <v>273162.49999999994</v>
      </c>
      <c r="G43" s="26">
        <f t="shared" si="9"/>
        <v>646134.37499999988</v>
      </c>
      <c r="H43" s="26">
        <f t="shared" si="9"/>
        <v>441525.15624999994</v>
      </c>
      <c r="I43" s="26">
        <f t="shared" si="9"/>
        <v>452563.28515624994</v>
      </c>
      <c r="J43" s="26">
        <f t="shared" si="9"/>
        <v>579846.70910644508</v>
      </c>
      <c r="K43" s="26">
        <f t="shared" si="9"/>
        <v>713211.45220092742</v>
      </c>
      <c r="L43" s="26">
        <f t="shared" si="9"/>
        <v>974722.31800793391</v>
      </c>
      <c r="M43" s="26">
        <f t="shared" si="9"/>
        <v>1123976.6729528988</v>
      </c>
      <c r="N43" s="25" t="s">
        <v>17</v>
      </c>
    </row>
    <row r="44" spans="3:16" x14ac:dyDescent="0.2">
      <c r="C44" s="4" t="s">
        <v>14</v>
      </c>
      <c r="D44" s="26">
        <f t="shared" si="4"/>
        <v>200000</v>
      </c>
      <c r="E44" s="26">
        <f t="shared" si="4"/>
        <v>245999.99999999997</v>
      </c>
      <c r="F44" s="26">
        <f t="shared" ref="F44:M44" si="10">F$10*F27</f>
        <v>273162.49999999994</v>
      </c>
      <c r="G44" s="26">
        <f t="shared" si="10"/>
        <v>646134.37499999988</v>
      </c>
      <c r="H44" s="26">
        <f t="shared" si="10"/>
        <v>441525.15624999994</v>
      </c>
      <c r="I44" s="26">
        <f t="shared" si="10"/>
        <v>452563.28515624994</v>
      </c>
      <c r="J44" s="26">
        <f t="shared" si="10"/>
        <v>579846.70910644508</v>
      </c>
      <c r="K44" s="26">
        <f t="shared" si="10"/>
        <v>713211.45220092742</v>
      </c>
      <c r="L44" s="26">
        <f t="shared" si="10"/>
        <v>974722.31800793391</v>
      </c>
      <c r="M44" s="26">
        <f t="shared" si="10"/>
        <v>1123976.6729528988</v>
      </c>
      <c r="N44" s="25" t="s">
        <v>17</v>
      </c>
      <c r="P44" t="s">
        <v>34</v>
      </c>
    </row>
    <row r="45" spans="3:16" ht="13.5" thickBot="1" x14ac:dyDescent="0.25">
      <c r="C45" s="10" t="s">
        <v>16</v>
      </c>
      <c r="D45" s="11">
        <f>SUM(D38:D44)</f>
        <v>1400000</v>
      </c>
      <c r="E45" s="11">
        <f>SUM(E33:E44)</f>
        <v>2951999.9999999995</v>
      </c>
      <c r="F45" s="11">
        <f t="shared" ref="F45:N45" si="11">SUM(F33:F44)</f>
        <v>3277949.9999999995</v>
      </c>
      <c r="G45" s="11">
        <f t="shared" si="11"/>
        <v>6892099.9999999991</v>
      </c>
      <c r="H45" s="11">
        <f t="shared" si="11"/>
        <v>4636014.1406249991</v>
      </c>
      <c r="I45" s="11">
        <f t="shared" si="11"/>
        <v>5430759.4218749991</v>
      </c>
      <c r="J45" s="11">
        <f t="shared" si="11"/>
        <v>6958160.5092773428</v>
      </c>
      <c r="K45" s="11">
        <f t="shared" si="11"/>
        <v>8558537.4264111314</v>
      </c>
      <c r="L45" s="11">
        <f t="shared" si="11"/>
        <v>11696667.816095211</v>
      </c>
      <c r="M45" s="11">
        <f t="shared" si="11"/>
        <v>13487720.075434782</v>
      </c>
      <c r="N45" s="18">
        <f t="shared" si="11"/>
        <v>7680507.2651781412</v>
      </c>
      <c r="P45" s="3">
        <f>SUM(D45:N45)</f>
        <v>72970416.654896602</v>
      </c>
    </row>
  </sheetData>
  <mergeCells count="3">
    <mergeCell ref="C13:N13"/>
    <mergeCell ref="C30:N30"/>
    <mergeCell ref="A14:A2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L19"/>
  <sheetViews>
    <sheetView zoomScale="85" zoomScaleNormal="85" workbookViewId="0">
      <selection activeCell="U29" sqref="U29"/>
    </sheetView>
  </sheetViews>
  <sheetFormatPr defaultColWidth="8.85546875" defaultRowHeight="12.75" x14ac:dyDescent="0.2"/>
  <cols>
    <col min="1" max="1" width="12.42578125" customWidth="1"/>
  </cols>
  <sheetData>
    <row r="2" spans="1:12" x14ac:dyDescent="0.2">
      <c r="A2" s="21" t="s">
        <v>19</v>
      </c>
    </row>
    <row r="4" spans="1:12" x14ac:dyDescent="0.2">
      <c r="B4" s="13">
        <v>2019</v>
      </c>
      <c r="C4" s="13">
        <v>2020</v>
      </c>
      <c r="D4" s="13">
        <v>2021</v>
      </c>
      <c r="E4" s="13">
        <v>2022</v>
      </c>
      <c r="F4" s="13">
        <v>2023</v>
      </c>
      <c r="G4" s="13">
        <v>2024</v>
      </c>
      <c r="H4" s="13">
        <v>2025</v>
      </c>
      <c r="I4" s="13">
        <v>2026</v>
      </c>
      <c r="J4" s="13">
        <v>2027</v>
      </c>
      <c r="K4" s="13">
        <v>2028</v>
      </c>
      <c r="L4" s="14">
        <v>2029</v>
      </c>
    </row>
    <row r="5" spans="1:12" x14ac:dyDescent="0.2">
      <c r="B5" s="15">
        <v>1</v>
      </c>
      <c r="C5" s="15">
        <v>1.0249999999999999</v>
      </c>
      <c r="D5" s="15">
        <v>1.0249999999999999</v>
      </c>
      <c r="E5" s="15">
        <v>1.0249999999999999</v>
      </c>
      <c r="F5" s="15">
        <v>1.0249999999999999</v>
      </c>
      <c r="G5" s="15">
        <v>1.0249999999999999</v>
      </c>
      <c r="H5" s="15">
        <v>1.0249999999999999</v>
      </c>
      <c r="I5" s="15">
        <v>1.0249999999999999</v>
      </c>
      <c r="J5" s="15">
        <v>1.0249999999999999</v>
      </c>
      <c r="K5" s="15">
        <v>1.0249999999999999</v>
      </c>
      <c r="L5" s="15">
        <v>1.0249999999999999</v>
      </c>
    </row>
    <row r="6" spans="1:12" x14ac:dyDescent="0.2">
      <c r="A6" t="s">
        <v>21</v>
      </c>
      <c r="B6" s="15">
        <f>B5</f>
        <v>1</v>
      </c>
      <c r="C6" s="15">
        <f>B6*C5</f>
        <v>1.0249999999999999</v>
      </c>
      <c r="D6" s="15">
        <f t="shared" ref="D6:L6" si="0">C6*D5</f>
        <v>1.0506249999999999</v>
      </c>
      <c r="E6" s="15">
        <f t="shared" si="0"/>
        <v>1.0768906249999999</v>
      </c>
      <c r="F6" s="15">
        <f t="shared" si="0"/>
        <v>1.1038128906249998</v>
      </c>
      <c r="G6" s="15">
        <f t="shared" si="0"/>
        <v>1.1314082128906247</v>
      </c>
      <c r="H6" s="15">
        <f t="shared" si="0"/>
        <v>1.1596934182128902</v>
      </c>
      <c r="I6" s="15">
        <f t="shared" si="0"/>
        <v>1.1886857536682123</v>
      </c>
      <c r="J6" s="15">
        <f t="shared" si="0"/>
        <v>1.2184028975099175</v>
      </c>
      <c r="K6" s="15">
        <f t="shared" si="0"/>
        <v>1.2488629699476652</v>
      </c>
      <c r="L6" s="15">
        <f t="shared" si="0"/>
        <v>1.2800845441963566</v>
      </c>
    </row>
    <row r="11" spans="1:12" x14ac:dyDescent="0.2">
      <c r="A11" t="s">
        <v>20</v>
      </c>
    </row>
    <row r="13" spans="1:12" x14ac:dyDescent="0.2">
      <c r="B13" s="13">
        <v>2019</v>
      </c>
      <c r="C13" s="13">
        <v>2020</v>
      </c>
      <c r="D13" s="13">
        <v>2021</v>
      </c>
      <c r="E13" s="13">
        <v>2022</v>
      </c>
      <c r="F13" s="13">
        <v>2023</v>
      </c>
      <c r="G13" s="13">
        <v>2024</v>
      </c>
      <c r="H13" s="13">
        <v>2025</v>
      </c>
      <c r="I13" s="13">
        <v>2026</v>
      </c>
      <c r="J13" s="13">
        <v>2027</v>
      </c>
      <c r="K13" s="13">
        <v>2028</v>
      </c>
      <c r="L13" s="14">
        <v>2029</v>
      </c>
    </row>
    <row r="14" spans="1:12" x14ac:dyDescent="0.2">
      <c r="B14" s="22">
        <v>1</v>
      </c>
      <c r="C14" s="22">
        <f>B14*C5</f>
        <v>1.0249999999999999</v>
      </c>
      <c r="D14" s="22">
        <f t="shared" ref="D14:L14" si="1">C14*D5</f>
        <v>1.0506249999999999</v>
      </c>
      <c r="E14" s="22">
        <f t="shared" si="1"/>
        <v>1.0768906249999999</v>
      </c>
      <c r="F14" s="22">
        <f t="shared" si="1"/>
        <v>1.1038128906249998</v>
      </c>
      <c r="G14" s="22">
        <f t="shared" si="1"/>
        <v>1.1314082128906247</v>
      </c>
      <c r="H14" s="22">
        <f t="shared" si="1"/>
        <v>1.1596934182128902</v>
      </c>
      <c r="I14" s="22">
        <f t="shared" si="1"/>
        <v>1.1886857536682123</v>
      </c>
      <c r="J14" s="22">
        <f t="shared" si="1"/>
        <v>1.2184028975099175</v>
      </c>
      <c r="K14" s="22">
        <f t="shared" si="1"/>
        <v>1.2488629699476652</v>
      </c>
      <c r="L14" s="22">
        <f t="shared" si="1"/>
        <v>1.2800845441963566</v>
      </c>
    </row>
    <row r="19" spans="1:1" x14ac:dyDescent="0.2">
      <c r="A19" t="s">
        <v>35</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B51"/>
  <sheetViews>
    <sheetView showGridLines="0" zoomScale="85" zoomScaleNormal="85" workbookViewId="0">
      <selection activeCell="R22" sqref="R22"/>
    </sheetView>
  </sheetViews>
  <sheetFormatPr defaultColWidth="8.85546875" defaultRowHeight="12.75" x14ac:dyDescent="0.2"/>
  <cols>
    <col min="1" max="1" width="28.7109375" bestFit="1" customWidth="1"/>
    <col min="2" max="2" width="16.140625" bestFit="1" customWidth="1"/>
    <col min="3" max="3" width="10.7109375" customWidth="1"/>
    <col min="4" max="4" width="15.140625" bestFit="1" customWidth="1"/>
    <col min="5" max="10" width="14.5703125" bestFit="1" customWidth="1"/>
    <col min="11" max="12" width="16.140625" bestFit="1" customWidth="1"/>
    <col min="13" max="14" width="14.5703125" bestFit="1" customWidth="1"/>
    <col min="15" max="15" width="2.7109375" customWidth="1"/>
    <col min="16" max="16" width="16.140625" bestFit="1" customWidth="1"/>
  </cols>
  <sheetData>
    <row r="1" spans="1:28" x14ac:dyDescent="0.2">
      <c r="A1" s="21" t="s">
        <v>44</v>
      </c>
    </row>
    <row r="2" spans="1:28" x14ac:dyDescent="0.2">
      <c r="D2" s="1"/>
      <c r="E2" s="1"/>
      <c r="F2" s="1"/>
      <c r="G2" s="1"/>
      <c r="H2" s="1"/>
      <c r="I2" s="1"/>
      <c r="J2" s="1"/>
      <c r="K2" s="1"/>
      <c r="L2" s="1"/>
      <c r="M2" s="1"/>
      <c r="N2" s="1"/>
    </row>
    <row r="3" spans="1:28" x14ac:dyDescent="0.2">
      <c r="D3" s="1"/>
      <c r="E3" s="1"/>
      <c r="F3" s="1"/>
      <c r="G3" s="1"/>
      <c r="H3" s="1"/>
      <c r="I3" s="1"/>
      <c r="J3" s="1"/>
      <c r="K3" s="1"/>
      <c r="L3" s="1"/>
      <c r="M3" s="1"/>
      <c r="N3" s="1"/>
    </row>
    <row r="4" spans="1:28" x14ac:dyDescent="0.2">
      <c r="A4" t="s">
        <v>33</v>
      </c>
      <c r="B4">
        <v>100</v>
      </c>
      <c r="D4" s="20">
        <f>$B$4*'A3 - Faktorer'!B6</f>
        <v>100</v>
      </c>
      <c r="E4" s="20">
        <f>$B$4*'A3 - Faktorer'!C6</f>
        <v>102.49999999999999</v>
      </c>
      <c r="F4" s="20">
        <f>$B$4*'A3 - Faktorer'!D6</f>
        <v>105.06249999999999</v>
      </c>
      <c r="G4" s="20">
        <f>$B$4*'A3 - Faktorer'!E6</f>
        <v>107.68906249999999</v>
      </c>
      <c r="H4" s="20">
        <f>$B$4*'A3 - Faktorer'!F6</f>
        <v>110.38128906249997</v>
      </c>
      <c r="I4" s="20">
        <f>$B$4*'A3 - Faktorer'!G6</f>
        <v>113.14082128906247</v>
      </c>
      <c r="J4" s="20">
        <f>$B$4*'A3 - Faktorer'!H6</f>
        <v>115.96934182128902</v>
      </c>
      <c r="K4" s="20">
        <f>$B$4*'A3 - Faktorer'!I6</f>
        <v>118.86857536682123</v>
      </c>
      <c r="L4" s="20">
        <f>$B$4*'A3 - Faktorer'!J6</f>
        <v>121.84028975099174</v>
      </c>
      <c r="M4" s="20">
        <f>$B$4*'A3 - Faktorer'!K6</f>
        <v>124.88629699476652</v>
      </c>
      <c r="N4" s="20">
        <f>$B$4*'A3 - Faktorer'!L6</f>
        <v>128.00845441963565</v>
      </c>
      <c r="O4" s="20"/>
    </row>
    <row r="6" spans="1:28" x14ac:dyDescent="0.2">
      <c r="A6" t="s">
        <v>18</v>
      </c>
      <c r="B6" s="2">
        <v>12000000</v>
      </c>
      <c r="D6" s="2">
        <f>$B$6*'A3 - Faktorer'!B14</f>
        <v>12000000</v>
      </c>
      <c r="E6" s="2">
        <f>$B$6*'A3 - Faktorer'!C14</f>
        <v>12299999.999999998</v>
      </c>
      <c r="F6" s="2">
        <f>$B$6*'A3 - Faktorer'!D14</f>
        <v>12607499.999999998</v>
      </c>
      <c r="G6" s="2">
        <f>$B$6*'A3 - Faktorer'!E14</f>
        <v>12922687.499999998</v>
      </c>
      <c r="H6" s="2">
        <f>$B$6*'A3 - Faktorer'!F14</f>
        <v>13245754.687499996</v>
      </c>
      <c r="I6" s="2">
        <f>$B$6*'A3 - Faktorer'!G14</f>
        <v>13576898.554687496</v>
      </c>
      <c r="J6" s="2">
        <f>$B$6*'A3 - Faktorer'!H14</f>
        <v>13916321.018554682</v>
      </c>
      <c r="K6" s="2">
        <f>$B$6*'A3 - Faktorer'!I14</f>
        <v>14264229.044018548</v>
      </c>
      <c r="L6" s="2">
        <f>$B$6*'A3 - Faktorer'!J14</f>
        <v>14620834.77011901</v>
      </c>
      <c r="M6" s="2">
        <f>$B$6*'A3 - Faktorer'!K14</f>
        <v>14986355.639371982</v>
      </c>
      <c r="N6" s="2">
        <f>$B$6*'A3 - Faktorer'!L14</f>
        <v>15361014.530356281</v>
      </c>
    </row>
    <row r="7" spans="1:28" x14ac:dyDescent="0.2">
      <c r="A7" t="s">
        <v>36</v>
      </c>
      <c r="B7" s="2">
        <v>12000000</v>
      </c>
      <c r="D7" s="2">
        <f>$B$7*'A3 - Faktorer'!B14</f>
        <v>12000000</v>
      </c>
      <c r="E7" s="2">
        <f>$B$7*'A3 - Faktorer'!C14</f>
        <v>12299999.999999998</v>
      </c>
      <c r="F7" s="2">
        <f>$B$7*'A3 - Faktorer'!D14</f>
        <v>12607499.999999998</v>
      </c>
      <c r="G7" s="2">
        <f>$B$7*'A3 - Faktorer'!E14</f>
        <v>12922687.499999998</v>
      </c>
      <c r="H7" s="2"/>
      <c r="I7" s="2"/>
      <c r="J7" s="2"/>
      <c r="K7" s="2"/>
      <c r="L7" s="2"/>
      <c r="M7" s="2"/>
      <c r="N7" s="2"/>
    </row>
    <row r="8" spans="1:28" x14ac:dyDescent="0.2">
      <c r="D8" s="2"/>
    </row>
    <row r="9" spans="1:28" x14ac:dyDescent="0.2">
      <c r="A9" t="s">
        <v>42</v>
      </c>
      <c r="B9" s="3">
        <f>B6/12</f>
        <v>1000000</v>
      </c>
      <c r="D9" s="2">
        <f>((D6/12)+(D7/12))/D4</f>
        <v>20000</v>
      </c>
      <c r="E9" s="2">
        <f>((E6/12)+(E7/12))/E4</f>
        <v>20000</v>
      </c>
      <c r="F9" s="2">
        <f t="shared" ref="F9:N9" si="0">((F6/12)+(F7/12))/F4</f>
        <v>20000</v>
      </c>
      <c r="G9" s="2">
        <f t="shared" si="0"/>
        <v>19999.999999999996</v>
      </c>
      <c r="H9" s="2">
        <f t="shared" si="0"/>
        <v>10000</v>
      </c>
      <c r="I9" s="2">
        <f t="shared" si="0"/>
        <v>10000</v>
      </c>
      <c r="J9" s="2">
        <f t="shared" si="0"/>
        <v>10000</v>
      </c>
      <c r="K9" s="2">
        <f t="shared" si="0"/>
        <v>10000</v>
      </c>
      <c r="L9" s="2">
        <f t="shared" si="0"/>
        <v>10000</v>
      </c>
      <c r="M9" s="2">
        <f t="shared" si="0"/>
        <v>10000</v>
      </c>
      <c r="N9" s="2">
        <f t="shared" si="0"/>
        <v>10000.000000000002</v>
      </c>
    </row>
    <row r="11" spans="1:28" x14ac:dyDescent="0.2">
      <c r="A11" s="23" t="s">
        <v>28</v>
      </c>
      <c r="D11" s="22"/>
      <c r="E11" s="22"/>
      <c r="F11" s="22"/>
      <c r="G11" s="22"/>
      <c r="H11" s="22"/>
    </row>
    <row r="13" spans="1:28" ht="13.5" thickBot="1" x14ac:dyDescent="0.25"/>
    <row r="14" spans="1:28" ht="13.5" thickBot="1" x14ac:dyDescent="0.25">
      <c r="C14" s="190" t="s">
        <v>78</v>
      </c>
      <c r="D14" s="191"/>
      <c r="E14" s="191"/>
      <c r="F14" s="191"/>
      <c r="G14" s="191"/>
      <c r="H14" s="191"/>
      <c r="I14" s="191"/>
      <c r="J14" s="191"/>
      <c r="K14" s="191"/>
      <c r="L14" s="191"/>
      <c r="M14" s="191"/>
      <c r="N14" s="192"/>
      <c r="Q14" s="190" t="s">
        <v>77</v>
      </c>
      <c r="R14" s="191"/>
      <c r="S14" s="191"/>
      <c r="T14" s="191"/>
      <c r="U14" s="191"/>
      <c r="V14" s="191"/>
      <c r="W14" s="191"/>
      <c r="X14" s="191"/>
      <c r="Y14" s="191"/>
      <c r="Z14" s="191"/>
      <c r="AA14" s="191"/>
      <c r="AB14" s="192"/>
    </row>
    <row r="15" spans="1:28" x14ac:dyDescent="0.2">
      <c r="A15" s="193" t="s">
        <v>30</v>
      </c>
      <c r="C15" s="4"/>
      <c r="D15" s="5"/>
      <c r="E15" s="5"/>
      <c r="F15" s="5"/>
      <c r="G15" s="5"/>
      <c r="H15" s="5"/>
      <c r="I15" s="5"/>
      <c r="J15" s="5"/>
      <c r="K15" s="5"/>
      <c r="L15" s="5"/>
      <c r="M15" s="5"/>
      <c r="N15" s="6"/>
      <c r="Q15" s="4"/>
      <c r="R15" s="5"/>
      <c r="S15" s="5"/>
      <c r="T15" s="5"/>
      <c r="U15" s="5"/>
      <c r="V15" s="5"/>
      <c r="W15" s="5"/>
      <c r="X15" s="5"/>
      <c r="Y15" s="5"/>
      <c r="Z15" s="5"/>
      <c r="AA15" s="5"/>
      <c r="AB15" s="6"/>
    </row>
    <row r="16" spans="1:28" x14ac:dyDescent="0.2">
      <c r="A16" s="193"/>
      <c r="C16" s="35" t="s">
        <v>2</v>
      </c>
      <c r="D16" s="36">
        <v>2019</v>
      </c>
      <c r="E16" s="36">
        <v>2020</v>
      </c>
      <c r="F16" s="36">
        <v>2021</v>
      </c>
      <c r="G16" s="36">
        <v>2022</v>
      </c>
      <c r="H16" s="36">
        <v>2023</v>
      </c>
      <c r="I16" s="36">
        <v>2024</v>
      </c>
      <c r="J16" s="36">
        <v>2025</v>
      </c>
      <c r="K16" s="36">
        <v>2026</v>
      </c>
      <c r="L16" s="36">
        <v>2027</v>
      </c>
      <c r="M16" s="36">
        <v>2028</v>
      </c>
      <c r="N16" s="37">
        <v>2029</v>
      </c>
      <c r="Q16" s="35" t="s">
        <v>2</v>
      </c>
      <c r="R16" s="36">
        <v>2019</v>
      </c>
      <c r="S16" s="36">
        <v>2020</v>
      </c>
      <c r="T16" s="36">
        <v>2021</v>
      </c>
      <c r="U16" s="36">
        <v>2022</v>
      </c>
      <c r="V16" s="36">
        <v>2023</v>
      </c>
      <c r="W16" s="36">
        <v>2024</v>
      </c>
      <c r="X16" s="36">
        <v>2025</v>
      </c>
      <c r="Y16" s="36">
        <v>2026</v>
      </c>
      <c r="Z16" s="36">
        <v>2027</v>
      </c>
      <c r="AA16" s="36">
        <v>2028</v>
      </c>
      <c r="AB16" s="37">
        <v>2029</v>
      </c>
    </row>
    <row r="17" spans="1:28" x14ac:dyDescent="0.2">
      <c r="A17" s="193"/>
      <c r="C17" s="4" t="s">
        <v>3</v>
      </c>
      <c r="D17" s="72" t="s">
        <v>17</v>
      </c>
      <c r="E17" s="73">
        <v>6</v>
      </c>
      <c r="F17" s="73">
        <v>1</v>
      </c>
      <c r="G17" s="73">
        <v>1</v>
      </c>
      <c r="H17" s="73">
        <v>1</v>
      </c>
      <c r="I17" s="73">
        <v>1</v>
      </c>
      <c r="J17" s="73">
        <v>1</v>
      </c>
      <c r="K17" s="73">
        <v>1</v>
      </c>
      <c r="L17" s="74">
        <v>1</v>
      </c>
      <c r="M17" s="73">
        <v>1</v>
      </c>
      <c r="N17" s="75">
        <v>1</v>
      </c>
      <c r="Q17" s="4" t="s">
        <v>3</v>
      </c>
      <c r="R17" s="68"/>
      <c r="S17" s="82">
        <v>1</v>
      </c>
      <c r="T17" s="83">
        <v>1</v>
      </c>
      <c r="U17" s="83">
        <v>1</v>
      </c>
      <c r="V17" s="83">
        <v>1</v>
      </c>
      <c r="W17" s="83">
        <v>1</v>
      </c>
      <c r="X17" s="83">
        <v>1</v>
      </c>
      <c r="Y17" s="83">
        <v>1</v>
      </c>
      <c r="Z17" s="83">
        <v>1</v>
      </c>
      <c r="AA17" s="83">
        <v>1</v>
      </c>
      <c r="AB17" s="84">
        <v>1</v>
      </c>
    </row>
    <row r="18" spans="1:28" x14ac:dyDescent="0.2">
      <c r="A18" s="193"/>
      <c r="C18" s="4" t="s">
        <v>4</v>
      </c>
      <c r="D18" s="72" t="s">
        <v>17</v>
      </c>
      <c r="E18" s="73">
        <v>6</v>
      </c>
      <c r="F18" s="73">
        <v>1</v>
      </c>
      <c r="G18" s="73">
        <v>1</v>
      </c>
      <c r="H18" s="73">
        <v>1</v>
      </c>
      <c r="I18" s="73">
        <v>1</v>
      </c>
      <c r="J18" s="73">
        <v>1</v>
      </c>
      <c r="K18" s="73">
        <v>1</v>
      </c>
      <c r="L18" s="74">
        <v>1</v>
      </c>
      <c r="M18" s="73">
        <v>1</v>
      </c>
      <c r="N18" s="75">
        <v>1</v>
      </c>
      <c r="Q18" s="4" t="s">
        <v>4</v>
      </c>
      <c r="R18" s="68"/>
      <c r="S18" s="82">
        <v>1</v>
      </c>
      <c r="T18" s="83">
        <v>1</v>
      </c>
      <c r="U18" s="83">
        <v>1</v>
      </c>
      <c r="V18" s="83">
        <v>1</v>
      </c>
      <c r="W18" s="83">
        <v>1</v>
      </c>
      <c r="X18" s="83">
        <v>1</v>
      </c>
      <c r="Y18" s="83">
        <v>1</v>
      </c>
      <c r="Z18" s="83">
        <v>1</v>
      </c>
      <c r="AA18" s="83">
        <v>1</v>
      </c>
      <c r="AB18" s="84">
        <v>1</v>
      </c>
    </row>
    <row r="19" spans="1:28" x14ac:dyDescent="0.2">
      <c r="A19" s="193"/>
      <c r="C19" s="4" t="s">
        <v>5</v>
      </c>
      <c r="D19" s="72" t="s">
        <v>17</v>
      </c>
      <c r="E19" s="73">
        <v>6</v>
      </c>
      <c r="F19" s="73">
        <v>1</v>
      </c>
      <c r="G19" s="73">
        <v>1</v>
      </c>
      <c r="H19" s="73">
        <v>1</v>
      </c>
      <c r="I19" s="73">
        <v>1</v>
      </c>
      <c r="J19" s="73">
        <v>1</v>
      </c>
      <c r="K19" s="73">
        <v>1</v>
      </c>
      <c r="L19" s="74">
        <v>1</v>
      </c>
      <c r="M19" s="73">
        <v>1</v>
      </c>
      <c r="N19" s="75">
        <v>1</v>
      </c>
      <c r="Q19" s="4" t="s">
        <v>5</v>
      </c>
      <c r="R19" s="68"/>
      <c r="S19" s="82">
        <v>1</v>
      </c>
      <c r="T19" s="83">
        <v>1</v>
      </c>
      <c r="U19" s="83">
        <v>1</v>
      </c>
      <c r="V19" s="83">
        <v>1</v>
      </c>
      <c r="W19" s="83">
        <v>1</v>
      </c>
      <c r="X19" s="83">
        <v>1</v>
      </c>
      <c r="Y19" s="83">
        <v>1</v>
      </c>
      <c r="Z19" s="83">
        <v>1</v>
      </c>
      <c r="AA19" s="83">
        <v>1</v>
      </c>
      <c r="AB19" s="84">
        <v>1</v>
      </c>
    </row>
    <row r="20" spans="1:28" x14ac:dyDescent="0.2">
      <c r="A20" s="193"/>
      <c r="C20" s="4" t="s">
        <v>6</v>
      </c>
      <c r="D20" s="72" t="s">
        <v>17</v>
      </c>
      <c r="E20" s="73">
        <v>6</v>
      </c>
      <c r="F20" s="73">
        <v>1</v>
      </c>
      <c r="G20" s="73">
        <v>1</v>
      </c>
      <c r="H20" s="73">
        <v>1</v>
      </c>
      <c r="I20" s="73">
        <v>1</v>
      </c>
      <c r="J20" s="73">
        <v>1</v>
      </c>
      <c r="K20" s="73">
        <v>1</v>
      </c>
      <c r="L20" s="74">
        <v>1</v>
      </c>
      <c r="M20" s="73">
        <v>1</v>
      </c>
      <c r="N20" s="75">
        <v>1</v>
      </c>
      <c r="Q20" s="4" t="s">
        <v>6</v>
      </c>
      <c r="R20" s="68"/>
      <c r="S20" s="82">
        <v>1</v>
      </c>
      <c r="T20" s="83">
        <v>1</v>
      </c>
      <c r="U20" s="83">
        <v>1</v>
      </c>
      <c r="V20" s="83">
        <v>1</v>
      </c>
      <c r="W20" s="83">
        <v>1</v>
      </c>
      <c r="X20" s="83">
        <v>1</v>
      </c>
      <c r="Y20" s="83">
        <v>1</v>
      </c>
      <c r="Z20" s="83">
        <v>1</v>
      </c>
      <c r="AA20" s="83">
        <v>1</v>
      </c>
      <c r="AB20" s="84">
        <v>1</v>
      </c>
    </row>
    <row r="21" spans="1:28" x14ac:dyDescent="0.2">
      <c r="A21" s="193"/>
      <c r="C21" s="4" t="s">
        <v>7</v>
      </c>
      <c r="D21" s="72" t="s">
        <v>17</v>
      </c>
      <c r="E21" s="73">
        <v>6</v>
      </c>
      <c r="F21" s="73">
        <v>1</v>
      </c>
      <c r="G21" s="73">
        <v>1</v>
      </c>
      <c r="H21" s="73">
        <v>1</v>
      </c>
      <c r="I21" s="73">
        <v>1</v>
      </c>
      <c r="J21" s="73">
        <v>1</v>
      </c>
      <c r="K21" s="73">
        <v>1</v>
      </c>
      <c r="L21" s="74">
        <v>1</v>
      </c>
      <c r="M21" s="73">
        <v>1</v>
      </c>
      <c r="N21" s="75">
        <v>1</v>
      </c>
      <c r="Q21" s="4" t="s">
        <v>7</v>
      </c>
      <c r="R21" s="68"/>
      <c r="S21" s="82">
        <v>1</v>
      </c>
      <c r="T21" s="83">
        <v>1</v>
      </c>
      <c r="U21" s="83">
        <v>1</v>
      </c>
      <c r="V21" s="83">
        <v>1</v>
      </c>
      <c r="W21" s="83">
        <v>1</v>
      </c>
      <c r="X21" s="83">
        <v>1</v>
      </c>
      <c r="Y21" s="83">
        <v>1</v>
      </c>
      <c r="Z21" s="83">
        <v>1</v>
      </c>
      <c r="AA21" s="83">
        <v>1</v>
      </c>
      <c r="AB21" s="84">
        <v>1</v>
      </c>
    </row>
    <row r="22" spans="1:28" ht="13.5" thickBot="1" x14ac:dyDescent="0.25">
      <c r="A22" s="193"/>
      <c r="C22" s="4" t="s">
        <v>8</v>
      </c>
      <c r="D22" s="73">
        <v>10</v>
      </c>
      <c r="E22" s="73">
        <v>6</v>
      </c>
      <c r="F22" s="73">
        <v>1</v>
      </c>
      <c r="G22" s="73">
        <v>1</v>
      </c>
      <c r="H22" s="73">
        <v>1</v>
      </c>
      <c r="I22" s="73">
        <v>1</v>
      </c>
      <c r="J22" s="73">
        <v>1</v>
      </c>
      <c r="K22" s="73">
        <v>1</v>
      </c>
      <c r="L22" s="74">
        <v>1</v>
      </c>
      <c r="M22" s="73">
        <v>1</v>
      </c>
      <c r="N22" s="75">
        <v>1</v>
      </c>
      <c r="Q22" s="4" t="s">
        <v>8</v>
      </c>
      <c r="R22" s="82">
        <v>1</v>
      </c>
      <c r="S22" s="82">
        <v>1</v>
      </c>
      <c r="T22" s="83">
        <v>1</v>
      </c>
      <c r="U22" s="83">
        <v>1</v>
      </c>
      <c r="V22" s="83">
        <v>1</v>
      </c>
      <c r="W22" s="83">
        <v>1</v>
      </c>
      <c r="X22" s="83">
        <v>1</v>
      </c>
      <c r="Y22" s="83">
        <v>1</v>
      </c>
      <c r="Z22" s="83">
        <v>1</v>
      </c>
      <c r="AA22" s="83">
        <v>1</v>
      </c>
      <c r="AB22" s="84">
        <v>1</v>
      </c>
    </row>
    <row r="23" spans="1:28" x14ac:dyDescent="0.2">
      <c r="A23" s="193"/>
      <c r="C23" s="4" t="s">
        <v>9</v>
      </c>
      <c r="D23" s="73">
        <v>10</v>
      </c>
      <c r="E23" s="73">
        <v>6</v>
      </c>
      <c r="F23" s="73">
        <v>1</v>
      </c>
      <c r="G23" s="73">
        <v>1</v>
      </c>
      <c r="H23" s="73">
        <v>1</v>
      </c>
      <c r="I23" s="73">
        <v>1</v>
      </c>
      <c r="J23" s="73">
        <v>1</v>
      </c>
      <c r="K23" s="76">
        <v>1</v>
      </c>
      <c r="L23" s="73">
        <v>1</v>
      </c>
      <c r="M23" s="73">
        <v>1</v>
      </c>
      <c r="N23" s="77" t="s">
        <v>17</v>
      </c>
      <c r="Q23" s="4" t="s">
        <v>9</v>
      </c>
      <c r="R23" s="82">
        <v>1</v>
      </c>
      <c r="S23" s="82">
        <v>1</v>
      </c>
      <c r="T23" s="83">
        <v>1</v>
      </c>
      <c r="U23" s="83">
        <v>1</v>
      </c>
      <c r="V23" s="83">
        <v>1</v>
      </c>
      <c r="W23" s="83">
        <v>1</v>
      </c>
      <c r="X23" s="83">
        <v>1</v>
      </c>
      <c r="Y23" s="83">
        <v>1</v>
      </c>
      <c r="Z23" s="83">
        <v>1</v>
      </c>
      <c r="AA23" s="83">
        <v>1</v>
      </c>
      <c r="AB23" s="69"/>
    </row>
    <row r="24" spans="1:28" x14ac:dyDescent="0.2">
      <c r="A24" s="193"/>
      <c r="C24" s="4" t="s">
        <v>10</v>
      </c>
      <c r="D24" s="73">
        <v>10</v>
      </c>
      <c r="E24" s="73">
        <v>6</v>
      </c>
      <c r="F24" s="73">
        <v>1</v>
      </c>
      <c r="G24" s="73">
        <v>1</v>
      </c>
      <c r="H24" s="73">
        <v>1</v>
      </c>
      <c r="I24" s="73">
        <v>1</v>
      </c>
      <c r="J24" s="73">
        <v>1</v>
      </c>
      <c r="K24" s="74">
        <v>1</v>
      </c>
      <c r="L24" s="73">
        <v>1</v>
      </c>
      <c r="M24" s="73">
        <v>1</v>
      </c>
      <c r="N24" s="77" t="s">
        <v>17</v>
      </c>
      <c r="Q24" s="4" t="s">
        <v>10</v>
      </c>
      <c r="R24" s="82">
        <v>1</v>
      </c>
      <c r="S24" s="82">
        <v>1</v>
      </c>
      <c r="T24" s="83">
        <v>1</v>
      </c>
      <c r="U24" s="83">
        <v>1</v>
      </c>
      <c r="V24" s="83">
        <v>1</v>
      </c>
      <c r="W24" s="83">
        <v>1</v>
      </c>
      <c r="X24" s="83">
        <v>1</v>
      </c>
      <c r="Y24" s="83">
        <v>1</v>
      </c>
      <c r="Z24" s="83">
        <v>1</v>
      </c>
      <c r="AA24" s="83">
        <v>1</v>
      </c>
      <c r="AB24" s="69"/>
    </row>
    <row r="25" spans="1:28" x14ac:dyDescent="0.2">
      <c r="A25" s="193"/>
      <c r="C25" s="4" t="s">
        <v>11</v>
      </c>
      <c r="D25" s="73">
        <v>10</v>
      </c>
      <c r="E25" s="73">
        <v>6</v>
      </c>
      <c r="F25" s="73">
        <v>1</v>
      </c>
      <c r="G25" s="73">
        <v>1</v>
      </c>
      <c r="H25" s="73">
        <v>1</v>
      </c>
      <c r="I25" s="73">
        <v>1</v>
      </c>
      <c r="J25" s="73">
        <v>1</v>
      </c>
      <c r="K25" s="74">
        <v>1</v>
      </c>
      <c r="L25" s="73">
        <v>1</v>
      </c>
      <c r="M25" s="73">
        <v>1</v>
      </c>
      <c r="N25" s="78" t="s">
        <v>17</v>
      </c>
      <c r="Q25" s="4" t="s">
        <v>11</v>
      </c>
      <c r="R25" s="82">
        <v>1</v>
      </c>
      <c r="S25" s="82">
        <v>1</v>
      </c>
      <c r="T25" s="82">
        <v>1</v>
      </c>
      <c r="U25" s="82">
        <v>1</v>
      </c>
      <c r="V25" s="82">
        <v>1</v>
      </c>
      <c r="W25" s="82">
        <v>1</v>
      </c>
      <c r="X25" s="82">
        <v>1</v>
      </c>
      <c r="Y25" s="82">
        <v>1</v>
      </c>
      <c r="Z25" s="82">
        <v>1</v>
      </c>
      <c r="AA25" s="82">
        <v>1</v>
      </c>
      <c r="AB25" s="70"/>
    </row>
    <row r="26" spans="1:28" x14ac:dyDescent="0.2">
      <c r="A26" s="193"/>
      <c r="C26" s="4" t="s">
        <v>12</v>
      </c>
      <c r="D26" s="73">
        <v>10</v>
      </c>
      <c r="E26" s="73">
        <v>6</v>
      </c>
      <c r="F26" s="73">
        <v>1</v>
      </c>
      <c r="G26" s="73">
        <v>1</v>
      </c>
      <c r="H26" s="73">
        <v>1</v>
      </c>
      <c r="I26" s="73">
        <v>1</v>
      </c>
      <c r="J26" s="73">
        <v>1</v>
      </c>
      <c r="K26" s="74">
        <v>1</v>
      </c>
      <c r="L26" s="73">
        <v>1</v>
      </c>
      <c r="M26" s="73">
        <v>1</v>
      </c>
      <c r="N26" s="78" t="s">
        <v>17</v>
      </c>
      <c r="Q26" s="4" t="s">
        <v>12</v>
      </c>
      <c r="R26" s="82">
        <v>1</v>
      </c>
      <c r="S26" s="82">
        <v>1</v>
      </c>
      <c r="T26" s="82">
        <v>1</v>
      </c>
      <c r="U26" s="82">
        <v>1</v>
      </c>
      <c r="V26" s="82">
        <v>1</v>
      </c>
      <c r="W26" s="82">
        <v>1</v>
      </c>
      <c r="X26" s="82">
        <v>1</v>
      </c>
      <c r="Y26" s="82">
        <v>1</v>
      </c>
      <c r="Z26" s="82">
        <v>1</v>
      </c>
      <c r="AA26" s="82">
        <v>1</v>
      </c>
      <c r="AB26" s="70"/>
    </row>
    <row r="27" spans="1:28" x14ac:dyDescent="0.2">
      <c r="A27" s="193"/>
      <c r="C27" s="4" t="s">
        <v>13</v>
      </c>
      <c r="D27" s="73">
        <v>10</v>
      </c>
      <c r="E27" s="73">
        <v>6</v>
      </c>
      <c r="F27" s="73">
        <v>1</v>
      </c>
      <c r="G27" s="73">
        <v>1</v>
      </c>
      <c r="H27" s="73">
        <v>1</v>
      </c>
      <c r="I27" s="73">
        <v>1</v>
      </c>
      <c r="J27" s="73">
        <v>1</v>
      </c>
      <c r="K27" s="74">
        <v>1</v>
      </c>
      <c r="L27" s="73">
        <v>1</v>
      </c>
      <c r="M27" s="73">
        <v>1</v>
      </c>
      <c r="N27" s="78" t="s">
        <v>17</v>
      </c>
      <c r="Q27" s="4" t="s">
        <v>13</v>
      </c>
      <c r="R27" s="82">
        <v>1</v>
      </c>
      <c r="S27" s="82">
        <v>1</v>
      </c>
      <c r="T27" s="82">
        <v>1</v>
      </c>
      <c r="U27" s="82">
        <v>1</v>
      </c>
      <c r="V27" s="82">
        <v>1</v>
      </c>
      <c r="W27" s="82">
        <v>1</v>
      </c>
      <c r="X27" s="82">
        <v>1</v>
      </c>
      <c r="Y27" s="82">
        <v>1</v>
      </c>
      <c r="Z27" s="82">
        <v>1</v>
      </c>
      <c r="AA27" s="82">
        <v>1</v>
      </c>
      <c r="AB27" s="70"/>
    </row>
    <row r="28" spans="1:28" ht="13.5" thickBot="1" x14ac:dyDescent="0.25">
      <c r="A28" s="193"/>
      <c r="C28" s="7" t="s">
        <v>14</v>
      </c>
      <c r="D28" s="79">
        <v>10</v>
      </c>
      <c r="E28" s="79">
        <v>6</v>
      </c>
      <c r="F28" s="79">
        <v>1</v>
      </c>
      <c r="G28" s="79">
        <v>1</v>
      </c>
      <c r="H28" s="79">
        <v>1</v>
      </c>
      <c r="I28" s="79">
        <v>1</v>
      </c>
      <c r="J28" s="79">
        <v>1</v>
      </c>
      <c r="K28" s="80">
        <v>1</v>
      </c>
      <c r="L28" s="79">
        <v>1</v>
      </c>
      <c r="M28" s="79">
        <v>1</v>
      </c>
      <c r="N28" s="81" t="s">
        <v>17</v>
      </c>
      <c r="Q28" s="7" t="s">
        <v>14</v>
      </c>
      <c r="R28" s="85">
        <v>1</v>
      </c>
      <c r="S28" s="85">
        <v>1</v>
      </c>
      <c r="T28" s="85">
        <v>1</v>
      </c>
      <c r="U28" s="85">
        <v>1</v>
      </c>
      <c r="V28" s="85">
        <v>1</v>
      </c>
      <c r="W28" s="85">
        <v>1</v>
      </c>
      <c r="X28" s="85">
        <v>1</v>
      </c>
      <c r="Y28" s="85">
        <v>1</v>
      </c>
      <c r="Z28" s="85">
        <v>1</v>
      </c>
      <c r="AA28" s="85">
        <v>1</v>
      </c>
      <c r="AB28" s="71"/>
    </row>
    <row r="30" spans="1:28" ht="13.5" thickBot="1" x14ac:dyDescent="0.25"/>
    <row r="31" spans="1:28" ht="13.5" thickBot="1" x14ac:dyDescent="0.25">
      <c r="C31" s="190" t="s">
        <v>15</v>
      </c>
      <c r="D31" s="191"/>
      <c r="E31" s="191"/>
      <c r="F31" s="191"/>
      <c r="G31" s="191"/>
      <c r="H31" s="191"/>
      <c r="I31" s="191"/>
      <c r="J31" s="191"/>
      <c r="K31" s="191"/>
      <c r="L31" s="191"/>
      <c r="M31" s="191"/>
      <c r="N31" s="192"/>
    </row>
    <row r="32" spans="1:28" x14ac:dyDescent="0.2">
      <c r="C32" s="4"/>
      <c r="D32" s="5"/>
      <c r="E32" s="5"/>
      <c r="F32" s="5"/>
      <c r="G32" s="5"/>
      <c r="H32" s="5"/>
      <c r="I32" s="5"/>
      <c r="J32" s="5"/>
      <c r="K32" s="5"/>
      <c r="L32" s="5"/>
      <c r="M32" s="5"/>
      <c r="N32" s="6"/>
    </row>
    <row r="33" spans="1:16" x14ac:dyDescent="0.2">
      <c r="A33" s="197" t="s">
        <v>41</v>
      </c>
      <c r="C33" s="35" t="s">
        <v>2</v>
      </c>
      <c r="D33" s="36">
        <v>2019</v>
      </c>
      <c r="E33" s="36">
        <v>2020</v>
      </c>
      <c r="F33" s="36">
        <v>2021</v>
      </c>
      <c r="G33" s="36">
        <v>2022</v>
      </c>
      <c r="H33" s="36">
        <v>2023</v>
      </c>
      <c r="I33" s="36">
        <v>2024</v>
      </c>
      <c r="J33" s="36">
        <v>2025</v>
      </c>
      <c r="K33" s="36">
        <v>2026</v>
      </c>
      <c r="L33" s="36">
        <v>2027</v>
      </c>
      <c r="M33" s="36">
        <v>2028</v>
      </c>
      <c r="N33" s="37">
        <v>2029</v>
      </c>
    </row>
    <row r="34" spans="1:16" x14ac:dyDescent="0.2">
      <c r="A34" s="198"/>
      <c r="C34" s="4" t="s">
        <v>3</v>
      </c>
      <c r="D34" s="24" t="s">
        <v>17</v>
      </c>
      <c r="E34" s="26">
        <f t="shared" ref="E34:N45" si="1">_xlfn.IFS(E17=S17,E17*E$9,E17&gt;S17,E17*E$9,E17&lt;S17,-(S17-E17)*$D$9)</f>
        <v>120000</v>
      </c>
      <c r="F34" s="26">
        <f t="shared" si="1"/>
        <v>20000</v>
      </c>
      <c r="G34" s="26">
        <f t="shared" si="1"/>
        <v>19999.999999999996</v>
      </c>
      <c r="H34" s="26">
        <f t="shared" si="1"/>
        <v>10000</v>
      </c>
      <c r="I34" s="26">
        <f t="shared" si="1"/>
        <v>10000</v>
      </c>
      <c r="J34" s="26">
        <f t="shared" si="1"/>
        <v>10000</v>
      </c>
      <c r="K34" s="26">
        <f t="shared" si="1"/>
        <v>10000</v>
      </c>
      <c r="L34" s="26">
        <f t="shared" si="1"/>
        <v>10000</v>
      </c>
      <c r="M34" s="26">
        <f t="shared" si="1"/>
        <v>10000</v>
      </c>
      <c r="N34" s="26">
        <f t="shared" si="1"/>
        <v>10000.000000000002</v>
      </c>
    </row>
    <row r="35" spans="1:16" x14ac:dyDescent="0.2">
      <c r="A35" s="198"/>
      <c r="C35" s="4" t="s">
        <v>4</v>
      </c>
      <c r="D35" s="24" t="s">
        <v>17</v>
      </c>
      <c r="E35" s="26">
        <f t="shared" si="1"/>
        <v>120000</v>
      </c>
      <c r="F35" s="26">
        <f t="shared" si="1"/>
        <v>20000</v>
      </c>
      <c r="G35" s="26">
        <f t="shared" si="1"/>
        <v>19999.999999999996</v>
      </c>
      <c r="H35" s="26">
        <f t="shared" si="1"/>
        <v>10000</v>
      </c>
      <c r="I35" s="26">
        <f t="shared" si="1"/>
        <v>10000</v>
      </c>
      <c r="J35" s="26">
        <f t="shared" si="1"/>
        <v>10000</v>
      </c>
      <c r="K35" s="26">
        <f t="shared" si="1"/>
        <v>10000</v>
      </c>
      <c r="L35" s="26">
        <f t="shared" si="1"/>
        <v>10000</v>
      </c>
      <c r="M35" s="26">
        <f t="shared" si="1"/>
        <v>10000</v>
      </c>
      <c r="N35" s="26">
        <f t="shared" si="1"/>
        <v>10000.000000000002</v>
      </c>
    </row>
    <row r="36" spans="1:16" x14ac:dyDescent="0.2">
      <c r="A36" s="198"/>
      <c r="C36" s="4" t="s">
        <v>5</v>
      </c>
      <c r="D36" s="24" t="s">
        <v>17</v>
      </c>
      <c r="E36" s="26">
        <f t="shared" si="1"/>
        <v>120000</v>
      </c>
      <c r="F36" s="26">
        <f t="shared" si="1"/>
        <v>20000</v>
      </c>
      <c r="G36" s="26">
        <f t="shared" si="1"/>
        <v>19999.999999999996</v>
      </c>
      <c r="H36" s="26">
        <f t="shared" si="1"/>
        <v>10000</v>
      </c>
      <c r="I36" s="26">
        <f t="shared" si="1"/>
        <v>10000</v>
      </c>
      <c r="J36" s="26">
        <f t="shared" si="1"/>
        <v>10000</v>
      </c>
      <c r="K36" s="26">
        <f t="shared" si="1"/>
        <v>10000</v>
      </c>
      <c r="L36" s="26">
        <f t="shared" si="1"/>
        <v>10000</v>
      </c>
      <c r="M36" s="26">
        <f t="shared" si="1"/>
        <v>10000</v>
      </c>
      <c r="N36" s="26">
        <f t="shared" si="1"/>
        <v>10000.000000000002</v>
      </c>
    </row>
    <row r="37" spans="1:16" x14ac:dyDescent="0.2">
      <c r="A37" s="198"/>
      <c r="C37" s="4" t="s">
        <v>6</v>
      </c>
      <c r="D37" s="24" t="s">
        <v>17</v>
      </c>
      <c r="E37" s="26">
        <f t="shared" si="1"/>
        <v>120000</v>
      </c>
      <c r="F37" s="26">
        <f t="shared" si="1"/>
        <v>20000</v>
      </c>
      <c r="G37" s="26">
        <f t="shared" si="1"/>
        <v>19999.999999999996</v>
      </c>
      <c r="H37" s="26">
        <f t="shared" si="1"/>
        <v>10000</v>
      </c>
      <c r="I37" s="26">
        <f t="shared" si="1"/>
        <v>10000</v>
      </c>
      <c r="J37" s="26">
        <f t="shared" si="1"/>
        <v>10000</v>
      </c>
      <c r="K37" s="26">
        <f t="shared" si="1"/>
        <v>10000</v>
      </c>
      <c r="L37" s="26">
        <f t="shared" si="1"/>
        <v>10000</v>
      </c>
      <c r="M37" s="26">
        <f t="shared" si="1"/>
        <v>10000</v>
      </c>
      <c r="N37" s="26">
        <f t="shared" si="1"/>
        <v>10000.000000000002</v>
      </c>
    </row>
    <row r="38" spans="1:16" x14ac:dyDescent="0.2">
      <c r="A38" s="198"/>
      <c r="C38" s="4" t="s">
        <v>7</v>
      </c>
      <c r="D38" s="24" t="s">
        <v>17</v>
      </c>
      <c r="E38" s="26">
        <f t="shared" si="1"/>
        <v>120000</v>
      </c>
      <c r="F38" s="26">
        <f t="shared" si="1"/>
        <v>20000</v>
      </c>
      <c r="G38" s="26">
        <f t="shared" si="1"/>
        <v>19999.999999999996</v>
      </c>
      <c r="H38" s="26">
        <f t="shared" si="1"/>
        <v>10000</v>
      </c>
      <c r="I38" s="26">
        <f t="shared" si="1"/>
        <v>10000</v>
      </c>
      <c r="J38" s="26">
        <f t="shared" si="1"/>
        <v>10000</v>
      </c>
      <c r="K38" s="26">
        <f t="shared" si="1"/>
        <v>10000</v>
      </c>
      <c r="L38" s="26">
        <f t="shared" si="1"/>
        <v>10000</v>
      </c>
      <c r="M38" s="26">
        <f t="shared" si="1"/>
        <v>10000</v>
      </c>
      <c r="N38" s="26">
        <f t="shared" si="1"/>
        <v>10000.000000000002</v>
      </c>
    </row>
    <row r="39" spans="1:16" x14ac:dyDescent="0.2">
      <c r="A39" s="198"/>
      <c r="C39" s="4" t="s">
        <v>8</v>
      </c>
      <c r="D39" s="26">
        <f>_xlfn.IFS(D22=R22,D22*D$9,D22&gt;R22,D22*D$9,D22&lt;R22,-(R22-D22)*$D$9)</f>
        <v>200000</v>
      </c>
      <c r="E39" s="26">
        <f t="shared" si="1"/>
        <v>120000</v>
      </c>
      <c r="F39" s="26">
        <f t="shared" si="1"/>
        <v>20000</v>
      </c>
      <c r="G39" s="26">
        <f t="shared" si="1"/>
        <v>19999.999999999996</v>
      </c>
      <c r="H39" s="26">
        <f t="shared" si="1"/>
        <v>10000</v>
      </c>
      <c r="I39" s="26">
        <f t="shared" si="1"/>
        <v>10000</v>
      </c>
      <c r="J39" s="26">
        <f t="shared" si="1"/>
        <v>10000</v>
      </c>
      <c r="K39" s="26">
        <f t="shared" si="1"/>
        <v>10000</v>
      </c>
      <c r="L39" s="26">
        <f t="shared" si="1"/>
        <v>10000</v>
      </c>
      <c r="M39" s="26">
        <f t="shared" si="1"/>
        <v>10000</v>
      </c>
      <c r="N39" s="26">
        <f t="shared" si="1"/>
        <v>10000.000000000002</v>
      </c>
    </row>
    <row r="40" spans="1:16" x14ac:dyDescent="0.2">
      <c r="A40" s="198"/>
      <c r="C40" s="4" t="s">
        <v>9</v>
      </c>
      <c r="D40" s="26">
        <f t="shared" ref="D40:D45" si="2">_xlfn.IFS(D23=R23,D23*D$9,D23&gt;R23,D23*D$9,D23&lt;R23,-(R23-D23)*$D$9)</f>
        <v>200000</v>
      </c>
      <c r="E40" s="26">
        <f t="shared" si="1"/>
        <v>120000</v>
      </c>
      <c r="F40" s="26">
        <f t="shared" si="1"/>
        <v>20000</v>
      </c>
      <c r="G40" s="26">
        <f t="shared" si="1"/>
        <v>19999.999999999996</v>
      </c>
      <c r="H40" s="26">
        <f t="shared" si="1"/>
        <v>10000</v>
      </c>
      <c r="I40" s="26">
        <f t="shared" si="1"/>
        <v>10000</v>
      </c>
      <c r="J40" s="26">
        <f t="shared" si="1"/>
        <v>10000</v>
      </c>
      <c r="K40" s="26">
        <f t="shared" si="1"/>
        <v>10000</v>
      </c>
      <c r="L40" s="26">
        <f t="shared" si="1"/>
        <v>10000</v>
      </c>
      <c r="M40" s="26">
        <f t="shared" si="1"/>
        <v>10000</v>
      </c>
      <c r="N40" s="25" t="s">
        <v>17</v>
      </c>
    </row>
    <row r="41" spans="1:16" x14ac:dyDescent="0.2">
      <c r="A41" s="198"/>
      <c r="C41" s="4" t="s">
        <v>10</v>
      </c>
      <c r="D41" s="26">
        <f t="shared" si="2"/>
        <v>200000</v>
      </c>
      <c r="E41" s="26">
        <f t="shared" si="1"/>
        <v>120000</v>
      </c>
      <c r="F41" s="26">
        <f t="shared" si="1"/>
        <v>20000</v>
      </c>
      <c r="G41" s="26">
        <f t="shared" si="1"/>
        <v>19999.999999999996</v>
      </c>
      <c r="H41" s="26">
        <f t="shared" si="1"/>
        <v>10000</v>
      </c>
      <c r="I41" s="26">
        <f t="shared" si="1"/>
        <v>10000</v>
      </c>
      <c r="J41" s="26">
        <f t="shared" si="1"/>
        <v>10000</v>
      </c>
      <c r="K41" s="26">
        <f t="shared" si="1"/>
        <v>10000</v>
      </c>
      <c r="L41" s="26">
        <f t="shared" si="1"/>
        <v>10000</v>
      </c>
      <c r="M41" s="26">
        <f t="shared" si="1"/>
        <v>10000</v>
      </c>
      <c r="N41" s="25" t="s">
        <v>17</v>
      </c>
    </row>
    <row r="42" spans="1:16" x14ac:dyDescent="0.2">
      <c r="A42" s="198"/>
      <c r="C42" s="4" t="s">
        <v>11</v>
      </c>
      <c r="D42" s="26">
        <f t="shared" si="2"/>
        <v>200000</v>
      </c>
      <c r="E42" s="26">
        <f t="shared" si="1"/>
        <v>120000</v>
      </c>
      <c r="F42" s="26">
        <f t="shared" si="1"/>
        <v>20000</v>
      </c>
      <c r="G42" s="26">
        <f t="shared" si="1"/>
        <v>19999.999999999996</v>
      </c>
      <c r="H42" s="26">
        <f t="shared" si="1"/>
        <v>10000</v>
      </c>
      <c r="I42" s="26">
        <f t="shared" si="1"/>
        <v>10000</v>
      </c>
      <c r="J42" s="26">
        <f t="shared" si="1"/>
        <v>10000</v>
      </c>
      <c r="K42" s="26">
        <f t="shared" si="1"/>
        <v>10000</v>
      </c>
      <c r="L42" s="26">
        <f t="shared" si="1"/>
        <v>10000</v>
      </c>
      <c r="M42" s="26">
        <f t="shared" si="1"/>
        <v>10000</v>
      </c>
      <c r="N42" s="25" t="s">
        <v>17</v>
      </c>
    </row>
    <row r="43" spans="1:16" x14ac:dyDescent="0.2">
      <c r="A43" s="198"/>
      <c r="C43" s="4" t="s">
        <v>12</v>
      </c>
      <c r="D43" s="26">
        <f t="shared" si="2"/>
        <v>200000</v>
      </c>
      <c r="E43" s="26">
        <f t="shared" si="1"/>
        <v>120000</v>
      </c>
      <c r="F43" s="26">
        <f t="shared" si="1"/>
        <v>20000</v>
      </c>
      <c r="G43" s="26">
        <f t="shared" si="1"/>
        <v>19999.999999999996</v>
      </c>
      <c r="H43" s="26">
        <f t="shared" si="1"/>
        <v>10000</v>
      </c>
      <c r="I43" s="26">
        <f t="shared" si="1"/>
        <v>10000</v>
      </c>
      <c r="J43" s="26">
        <f t="shared" si="1"/>
        <v>10000</v>
      </c>
      <c r="K43" s="26">
        <f t="shared" si="1"/>
        <v>10000</v>
      </c>
      <c r="L43" s="26">
        <f t="shared" si="1"/>
        <v>10000</v>
      </c>
      <c r="M43" s="26">
        <f t="shared" si="1"/>
        <v>10000</v>
      </c>
      <c r="N43" s="25" t="s">
        <v>17</v>
      </c>
    </row>
    <row r="44" spans="1:16" x14ac:dyDescent="0.2">
      <c r="A44" s="198"/>
      <c r="C44" s="4" t="s">
        <v>13</v>
      </c>
      <c r="D44" s="26">
        <f t="shared" si="2"/>
        <v>200000</v>
      </c>
      <c r="E44" s="26">
        <f t="shared" si="1"/>
        <v>120000</v>
      </c>
      <c r="F44" s="26">
        <f t="shared" si="1"/>
        <v>20000</v>
      </c>
      <c r="G44" s="26">
        <f t="shared" si="1"/>
        <v>19999.999999999996</v>
      </c>
      <c r="H44" s="26">
        <f t="shared" si="1"/>
        <v>10000</v>
      </c>
      <c r="I44" s="26">
        <f t="shared" si="1"/>
        <v>10000</v>
      </c>
      <c r="J44" s="26">
        <f t="shared" si="1"/>
        <v>10000</v>
      </c>
      <c r="K44" s="26">
        <f t="shared" si="1"/>
        <v>10000</v>
      </c>
      <c r="L44" s="26">
        <f t="shared" si="1"/>
        <v>10000</v>
      </c>
      <c r="M44" s="26">
        <f t="shared" si="1"/>
        <v>10000</v>
      </c>
      <c r="N44" s="25" t="s">
        <v>17</v>
      </c>
    </row>
    <row r="45" spans="1:16" x14ac:dyDescent="0.2">
      <c r="A45" s="199"/>
      <c r="C45" s="40" t="s">
        <v>14</v>
      </c>
      <c r="D45" s="41">
        <f t="shared" si="2"/>
        <v>200000</v>
      </c>
      <c r="E45" s="41">
        <f t="shared" si="1"/>
        <v>120000</v>
      </c>
      <c r="F45" s="41">
        <f t="shared" si="1"/>
        <v>20000</v>
      </c>
      <c r="G45" s="41">
        <f t="shared" si="1"/>
        <v>19999.999999999996</v>
      </c>
      <c r="H45" s="41">
        <f t="shared" si="1"/>
        <v>10000</v>
      </c>
      <c r="I45" s="41">
        <f t="shared" si="1"/>
        <v>10000</v>
      </c>
      <c r="J45" s="41">
        <f t="shared" si="1"/>
        <v>10000</v>
      </c>
      <c r="K45" s="41">
        <f t="shared" si="1"/>
        <v>10000</v>
      </c>
      <c r="L45" s="41">
        <f t="shared" si="1"/>
        <v>10000</v>
      </c>
      <c r="M45" s="41">
        <f t="shared" si="1"/>
        <v>10000</v>
      </c>
      <c r="N45" s="42" t="s">
        <v>17</v>
      </c>
      <c r="P45" t="s">
        <v>23</v>
      </c>
    </row>
    <row r="46" spans="1:16" ht="13.5" thickBot="1" x14ac:dyDescent="0.25">
      <c r="C46" s="7" t="s">
        <v>16</v>
      </c>
      <c r="D46" s="38">
        <f>SUM(D39:D45)</f>
        <v>1400000</v>
      </c>
      <c r="E46" s="38">
        <f>SUM(E34:E45)</f>
        <v>1440000</v>
      </c>
      <c r="F46" s="38">
        <f t="shared" ref="F46:N46" si="3">SUM(F34:F45)</f>
        <v>240000</v>
      </c>
      <c r="G46" s="38">
        <f t="shared" si="3"/>
        <v>239999.99999999997</v>
      </c>
      <c r="H46" s="38">
        <f t="shared" si="3"/>
        <v>120000</v>
      </c>
      <c r="I46" s="38">
        <f t="shared" si="3"/>
        <v>120000</v>
      </c>
      <c r="J46" s="38">
        <f t="shared" si="3"/>
        <v>120000</v>
      </c>
      <c r="K46" s="38">
        <f t="shared" si="3"/>
        <v>120000</v>
      </c>
      <c r="L46" s="38">
        <f t="shared" si="3"/>
        <v>120000</v>
      </c>
      <c r="M46" s="38">
        <f t="shared" si="3"/>
        <v>120000</v>
      </c>
      <c r="N46" s="39">
        <f t="shared" si="3"/>
        <v>60000.000000000007</v>
      </c>
      <c r="P46" s="3">
        <f>SUM(D46:N46)</f>
        <v>4100000</v>
      </c>
    </row>
    <row r="50" spans="4:14" x14ac:dyDescent="0.2">
      <c r="D50" s="91"/>
      <c r="E50" s="91"/>
      <c r="F50" s="91"/>
      <c r="G50" s="91"/>
      <c r="H50" s="91"/>
      <c r="I50" s="91"/>
      <c r="J50" s="91"/>
      <c r="K50" s="91"/>
      <c r="L50" s="91"/>
      <c r="M50" s="91"/>
      <c r="N50" s="91"/>
    </row>
    <row r="51" spans="4:14" x14ac:dyDescent="0.2">
      <c r="D51" s="91"/>
      <c r="E51" s="91"/>
      <c r="F51" s="91"/>
      <c r="G51" s="91"/>
      <c r="H51" s="91"/>
      <c r="I51" s="91"/>
      <c r="J51" s="91"/>
      <c r="K51" s="91"/>
      <c r="L51" s="91"/>
      <c r="M51" s="91"/>
      <c r="N51" s="91"/>
    </row>
  </sheetData>
  <mergeCells count="5">
    <mergeCell ref="C14:N14"/>
    <mergeCell ref="Q14:AB14"/>
    <mergeCell ref="A15:A28"/>
    <mergeCell ref="C31:N31"/>
    <mergeCell ref="A33:A45"/>
  </mergeCells>
  <conditionalFormatting sqref="D34:N45">
    <cfRule type="cellIs" dxfId="17" priority="3" operator="greaterThan">
      <formula>0</formula>
    </cfRule>
    <cfRule type="cellIs" dxfId="16" priority="4" operator="lessThan">
      <formula>0</formula>
    </cfRule>
  </conditionalFormatting>
  <conditionalFormatting sqref="D46:N46">
    <cfRule type="cellIs" dxfId="15" priority="1" operator="greaterThan">
      <formula>0</formula>
    </cfRule>
    <cfRule type="cellIs" dxfId="14" priority="2" operator="lessThan">
      <formula>0</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8"/>
  <sheetViews>
    <sheetView showGridLines="0" showRowColHeaders="0" tabSelected="1" workbookViewId="0">
      <selection activeCell="L5" sqref="L5"/>
    </sheetView>
  </sheetViews>
  <sheetFormatPr defaultColWidth="9.140625" defaultRowHeight="12.75" x14ac:dyDescent="0.2"/>
  <cols>
    <col min="1" max="1" width="1.7109375" style="23" customWidth="1"/>
    <col min="2" max="16384" width="9.140625" style="23"/>
  </cols>
  <sheetData>
    <row r="1" spans="2:2" ht="33" customHeight="1" x14ac:dyDescent="0.4">
      <c r="B1" s="164" t="s">
        <v>116</v>
      </c>
    </row>
    <row r="3" spans="2:2" x14ac:dyDescent="0.2">
      <c r="B3" s="165" t="s">
        <v>103</v>
      </c>
    </row>
    <row r="12" spans="2:2" x14ac:dyDescent="0.2">
      <c r="B12" s="165" t="s">
        <v>104</v>
      </c>
    </row>
    <row r="36" spans="2:2" x14ac:dyDescent="0.2">
      <c r="B36" s="23" t="s">
        <v>105</v>
      </c>
    </row>
    <row r="38" spans="2:2" x14ac:dyDescent="0.2">
      <c r="B38" s="165" t="s">
        <v>106</v>
      </c>
    </row>
    <row r="46" spans="2:2" x14ac:dyDescent="0.2">
      <c r="B46" s="23" t="s">
        <v>110</v>
      </c>
    </row>
    <row r="48" spans="2:2" x14ac:dyDescent="0.2">
      <c r="B48" s="165" t="s">
        <v>108</v>
      </c>
    </row>
    <row r="61" spans="2:2" x14ac:dyDescent="0.2">
      <c r="B61" s="23" t="s">
        <v>109</v>
      </c>
    </row>
    <row r="63" spans="2:2" x14ac:dyDescent="0.2">
      <c r="B63" s="165" t="s">
        <v>115</v>
      </c>
    </row>
    <row r="88" spans="2:2" x14ac:dyDescent="0.2">
      <c r="B88" s="23" t="s">
        <v>121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1"/>
  <sheetViews>
    <sheetView showGridLines="0" zoomScaleNormal="100" workbookViewId="0">
      <selection activeCell="I16" sqref="I16"/>
    </sheetView>
  </sheetViews>
  <sheetFormatPr defaultColWidth="9.140625" defaultRowHeight="12.75" x14ac:dyDescent="0.2"/>
  <cols>
    <col min="1" max="1" width="1.5703125" customWidth="1"/>
    <col min="2" max="2" width="12.5703125" customWidth="1"/>
    <col min="3" max="14" width="16.28515625" bestFit="1" customWidth="1"/>
    <col min="15" max="15" width="17.28515625" bestFit="1" customWidth="1"/>
    <col min="16" max="16" width="12.28515625" bestFit="1" customWidth="1"/>
    <col min="17" max="17" width="33.7109375" customWidth="1"/>
    <col min="18" max="18" width="22.28515625" customWidth="1"/>
  </cols>
  <sheetData>
    <row r="1" spans="2:17" ht="4.5" customHeight="1" x14ac:dyDescent="0.2"/>
    <row r="2" spans="2:17" ht="27" customHeight="1" x14ac:dyDescent="0.2">
      <c r="B2" s="200" t="s">
        <v>93</v>
      </c>
      <c r="C2" s="200"/>
      <c r="D2" s="200"/>
      <c r="E2" s="200"/>
      <c r="F2" s="200"/>
    </row>
    <row r="4" spans="2:17" ht="13.5" thickBot="1" x14ac:dyDescent="0.25"/>
    <row r="5" spans="2:17" ht="34.5" thickBot="1" x14ac:dyDescent="0.25">
      <c r="B5" s="175" t="s">
        <v>86</v>
      </c>
      <c r="C5" s="173">
        <v>1</v>
      </c>
      <c r="D5" s="173">
        <v>1.0249999999999999</v>
      </c>
      <c r="E5" s="173">
        <v>1.0506249999999999</v>
      </c>
      <c r="F5" s="173">
        <v>1.0768906249999999</v>
      </c>
      <c r="G5" s="173">
        <v>1.1038128906249998</v>
      </c>
      <c r="H5" s="173">
        <v>1.1314082128906247</v>
      </c>
      <c r="I5" s="173">
        <v>1.1596934182128902</v>
      </c>
      <c r="J5" s="173">
        <v>1.1886857536682123</v>
      </c>
      <c r="K5" s="173">
        <v>1.2184028975099175</v>
      </c>
      <c r="L5" s="173">
        <v>1.2488629699476652</v>
      </c>
      <c r="M5" s="173">
        <v>1.2800845441963566</v>
      </c>
      <c r="N5" s="174">
        <v>1.3120866578012655</v>
      </c>
    </row>
    <row r="6" spans="2:17" x14ac:dyDescent="0.2">
      <c r="C6" s="132"/>
      <c r="D6" s="132"/>
      <c r="E6" s="132"/>
      <c r="F6" s="132"/>
      <c r="G6" s="132"/>
      <c r="H6" s="132"/>
      <c r="I6" s="132"/>
      <c r="J6" s="132"/>
      <c r="K6" s="132"/>
      <c r="L6" s="132"/>
      <c r="M6" s="132"/>
      <c r="N6" s="132"/>
    </row>
    <row r="7" spans="2:17" ht="25.5" x14ac:dyDescent="0.2">
      <c r="C7" s="155">
        <v>2019</v>
      </c>
      <c r="D7" s="155">
        <v>2020</v>
      </c>
      <c r="E7" s="155">
        <v>2021</v>
      </c>
      <c r="F7" s="150">
        <v>2022</v>
      </c>
      <c r="G7" s="150">
        <v>2023</v>
      </c>
      <c r="H7" s="150">
        <v>2024</v>
      </c>
      <c r="I7" s="150">
        <v>2025</v>
      </c>
      <c r="J7" s="150">
        <v>2026</v>
      </c>
      <c r="K7" s="150">
        <v>2027</v>
      </c>
      <c r="L7" s="150">
        <v>2028</v>
      </c>
      <c r="M7" s="150">
        <v>2029</v>
      </c>
      <c r="N7" s="150">
        <v>2030</v>
      </c>
      <c r="O7" s="171" t="s">
        <v>111</v>
      </c>
      <c r="P7" s="184"/>
    </row>
    <row r="8" spans="2:17" x14ac:dyDescent="0.2">
      <c r="B8" s="156"/>
      <c r="C8" s="118">
        <v>75000000</v>
      </c>
      <c r="D8" s="118">
        <v>75000000</v>
      </c>
      <c r="E8" s="118">
        <v>75000000</v>
      </c>
      <c r="F8" s="118">
        <v>75000000</v>
      </c>
      <c r="G8" s="118">
        <v>75000000</v>
      </c>
      <c r="H8" s="118">
        <v>75000000</v>
      </c>
      <c r="I8" s="118">
        <v>75000000</v>
      </c>
      <c r="J8" s="118">
        <v>75000000</v>
      </c>
      <c r="K8" s="118">
        <v>75000000</v>
      </c>
      <c r="L8" s="118">
        <v>75000000</v>
      </c>
      <c r="M8" s="118">
        <v>75000000</v>
      </c>
      <c r="N8" s="118">
        <v>75000000</v>
      </c>
      <c r="O8" s="5"/>
      <c r="P8" s="184" t="s">
        <v>88</v>
      </c>
    </row>
    <row r="9" spans="2:17" x14ac:dyDescent="0.2">
      <c r="B9" s="157">
        <v>1</v>
      </c>
      <c r="C9" s="122">
        <f t="shared" ref="C9:N9" si="0">C8*C5</f>
        <v>75000000</v>
      </c>
      <c r="D9" s="122">
        <f t="shared" si="0"/>
        <v>76875000</v>
      </c>
      <c r="E9" s="122">
        <f t="shared" si="0"/>
        <v>78796875</v>
      </c>
      <c r="F9" s="122">
        <f t="shared" si="0"/>
        <v>80766796.874999985</v>
      </c>
      <c r="G9" s="122">
        <f t="shared" si="0"/>
        <v>82785966.796874985</v>
      </c>
      <c r="H9" s="122">
        <f t="shared" si="0"/>
        <v>84855615.966796845</v>
      </c>
      <c r="I9" s="122">
        <f t="shared" si="0"/>
        <v>86977006.365966767</v>
      </c>
      <c r="J9" s="122">
        <f t="shared" si="0"/>
        <v>89151431.525115922</v>
      </c>
      <c r="K9" s="122">
        <f t="shared" si="0"/>
        <v>91380217.313243806</v>
      </c>
      <c r="L9" s="122">
        <f t="shared" si="0"/>
        <v>93664722.746074885</v>
      </c>
      <c r="M9" s="122">
        <f t="shared" si="0"/>
        <v>96006340.814726755</v>
      </c>
      <c r="N9" s="122">
        <f t="shared" si="0"/>
        <v>98406499.335094914</v>
      </c>
      <c r="O9" s="8">
        <f>((C9/12)*6)+((N9/12)*6)+SUM(D9:M9)</f>
        <v>947963223.07134759</v>
      </c>
      <c r="P9" s="184" t="s">
        <v>119</v>
      </c>
      <c r="Q9" s="3"/>
    </row>
    <row r="10" spans="2:17" x14ac:dyDescent="0.2">
      <c r="B10" s="156"/>
      <c r="C10" s="118">
        <v>50000000</v>
      </c>
      <c r="D10" s="118">
        <v>50000000</v>
      </c>
      <c r="E10" s="118">
        <v>50000000</v>
      </c>
      <c r="F10" s="118">
        <v>50000000</v>
      </c>
      <c r="G10" s="118">
        <v>50000000</v>
      </c>
      <c r="H10" s="118">
        <v>50000000</v>
      </c>
      <c r="I10" s="118">
        <v>50000000</v>
      </c>
      <c r="J10" s="118">
        <v>50000000</v>
      </c>
      <c r="K10" s="118">
        <v>50000000</v>
      </c>
      <c r="L10" s="118">
        <v>50000000</v>
      </c>
      <c r="M10" s="118">
        <v>50000000</v>
      </c>
      <c r="N10" s="118">
        <v>50000000</v>
      </c>
      <c r="O10" s="8"/>
      <c r="P10" s="184" t="s">
        <v>88</v>
      </c>
    </row>
    <row r="11" spans="2:17" x14ac:dyDescent="0.2">
      <c r="B11" s="157">
        <v>2</v>
      </c>
      <c r="C11" s="123">
        <f t="shared" ref="C11:N11" si="1">C10*C5</f>
        <v>50000000</v>
      </c>
      <c r="D11" s="123">
        <f t="shared" si="1"/>
        <v>51249999.999999993</v>
      </c>
      <c r="E11" s="123">
        <f t="shared" si="1"/>
        <v>52531249.999999993</v>
      </c>
      <c r="F11" s="123">
        <f t="shared" si="1"/>
        <v>53844531.249999993</v>
      </c>
      <c r="G11" s="123">
        <f t="shared" si="1"/>
        <v>55190644.531249985</v>
      </c>
      <c r="H11" s="123">
        <f t="shared" si="1"/>
        <v>56570410.644531235</v>
      </c>
      <c r="I11" s="123">
        <f t="shared" si="1"/>
        <v>57984670.910644509</v>
      </c>
      <c r="J11" s="123">
        <f t="shared" si="1"/>
        <v>59434287.683410615</v>
      </c>
      <c r="K11" s="123">
        <f t="shared" si="1"/>
        <v>60920144.875495873</v>
      </c>
      <c r="L11" s="123">
        <f t="shared" si="1"/>
        <v>62443148.497383259</v>
      </c>
      <c r="M11" s="123">
        <f t="shared" si="1"/>
        <v>64004227.209817834</v>
      </c>
      <c r="N11" s="123">
        <f t="shared" si="1"/>
        <v>65604332.890063278</v>
      </c>
      <c r="O11" s="8">
        <f>((C11/12)*6)+((N11/12)*6)+SUM(D11:M11)+((C11/12)*6)+D11+E11</f>
        <v>760756732.04756486</v>
      </c>
      <c r="P11" s="184" t="s">
        <v>119</v>
      </c>
      <c r="Q11" s="3"/>
    </row>
    <row r="12" spans="2:17" x14ac:dyDescent="0.2">
      <c r="B12" s="156"/>
      <c r="C12" s="2">
        <v>25000000</v>
      </c>
      <c r="D12" s="2">
        <v>25000000</v>
      </c>
      <c r="E12" s="2">
        <v>25000000</v>
      </c>
      <c r="F12" s="2">
        <v>25000000</v>
      </c>
      <c r="G12" s="2">
        <v>25000000</v>
      </c>
      <c r="H12" s="2">
        <v>25000000</v>
      </c>
      <c r="I12" s="2">
        <v>25000000</v>
      </c>
      <c r="J12" s="2">
        <v>25000000</v>
      </c>
      <c r="K12" s="2">
        <v>25000000</v>
      </c>
      <c r="L12" s="2">
        <v>25000000</v>
      </c>
      <c r="M12" s="2">
        <v>25000000</v>
      </c>
      <c r="N12" s="2">
        <v>25000000</v>
      </c>
      <c r="O12" s="8"/>
      <c r="P12" s="184" t="s">
        <v>88</v>
      </c>
    </row>
    <row r="13" spans="2:17" x14ac:dyDescent="0.2">
      <c r="B13" s="121">
        <v>3</v>
      </c>
      <c r="C13" s="123">
        <f>C12*C5</f>
        <v>25000000</v>
      </c>
      <c r="D13" s="123">
        <f t="shared" ref="D13:N13" si="2">D12*D5</f>
        <v>25624999.999999996</v>
      </c>
      <c r="E13" s="123">
        <f t="shared" si="2"/>
        <v>26265624.999999996</v>
      </c>
      <c r="F13" s="123">
        <f t="shared" si="2"/>
        <v>26922265.624999996</v>
      </c>
      <c r="G13" s="123">
        <f t="shared" si="2"/>
        <v>27595322.265624993</v>
      </c>
      <c r="H13" s="123">
        <f t="shared" si="2"/>
        <v>28285205.322265618</v>
      </c>
      <c r="I13" s="123">
        <f t="shared" si="2"/>
        <v>28992335.455322254</v>
      </c>
      <c r="J13" s="123">
        <f t="shared" si="2"/>
        <v>29717143.841705307</v>
      </c>
      <c r="K13" s="123">
        <f t="shared" si="2"/>
        <v>30460072.437747937</v>
      </c>
      <c r="L13" s="123">
        <f t="shared" si="2"/>
        <v>31221574.24869163</v>
      </c>
      <c r="M13" s="123">
        <f t="shared" si="2"/>
        <v>32002113.604908917</v>
      </c>
      <c r="N13" s="123">
        <f t="shared" si="2"/>
        <v>32802166.445031639</v>
      </c>
      <c r="O13" s="8">
        <f>((C13/12)*6)+((N13/12)*6)+SUM(D13:M13)+((C13/12)*6)+D13+E13</f>
        <v>380378366.02378243</v>
      </c>
      <c r="P13" s="184" t="s">
        <v>119</v>
      </c>
      <c r="Q13" s="94"/>
    </row>
    <row r="14" spans="2:17" x14ac:dyDescent="0.2">
      <c r="O14" s="5"/>
      <c r="P14" s="184"/>
      <c r="Q14" s="97"/>
    </row>
    <row r="15" spans="2:17" x14ac:dyDescent="0.2">
      <c r="O15" s="5"/>
      <c r="Q15" s="97"/>
    </row>
    <row r="16" spans="2:17" ht="27" customHeight="1" x14ac:dyDescent="0.2">
      <c r="B16" s="200" t="s">
        <v>92</v>
      </c>
      <c r="C16" s="200"/>
      <c r="D16" s="200"/>
      <c r="E16" s="200"/>
      <c r="F16" s="200"/>
      <c r="O16" s="171" t="s">
        <v>111</v>
      </c>
    </row>
    <row r="17" spans="2:17" ht="4.5" customHeight="1" x14ac:dyDescent="0.2">
      <c r="B17" s="151"/>
      <c r="C17" s="151"/>
      <c r="D17" s="151"/>
      <c r="E17" s="151"/>
      <c r="F17" s="151"/>
      <c r="O17" s="5"/>
      <c r="Q17" s="97"/>
    </row>
    <row r="18" spans="2:17" ht="20.25" x14ac:dyDescent="0.2">
      <c r="B18" s="207" t="s">
        <v>91</v>
      </c>
      <c r="C18" s="207"/>
      <c r="D18" s="208">
        <v>250000000</v>
      </c>
      <c r="E18" s="189"/>
      <c r="F18" s="189"/>
      <c r="O18" s="5"/>
      <c r="Q18" s="97"/>
    </row>
    <row r="19" spans="2:17" ht="9" customHeight="1" thickBot="1" x14ac:dyDescent="0.25">
      <c r="B19" s="189"/>
      <c r="C19" s="189"/>
      <c r="D19" s="189"/>
      <c r="E19" s="189"/>
      <c r="F19" s="189"/>
      <c r="O19" s="5"/>
      <c r="Q19" s="97"/>
    </row>
    <row r="20" spans="2:17" ht="45.75" thickBot="1" x14ac:dyDescent="0.25">
      <c r="B20" s="177" t="s">
        <v>90</v>
      </c>
      <c r="C20" s="178">
        <f>($D$18/12)*6</f>
        <v>125000000</v>
      </c>
      <c r="D20" s="179">
        <f>$D$18*D5</f>
        <v>256249999.99999997</v>
      </c>
      <c r="E20" s="179">
        <f>$D$18*E5</f>
        <v>262656249.99999997</v>
      </c>
      <c r="F20" s="179">
        <f>$D$18*F5</f>
        <v>269222656.24999994</v>
      </c>
      <c r="G20" s="179">
        <f>$D$18*G5</f>
        <v>275953222.65624994</v>
      </c>
      <c r="H20" s="179">
        <f>$D$18*H5</f>
        <v>282852053.22265619</v>
      </c>
      <c r="I20" s="179">
        <f>$D$18*I5</f>
        <v>289923354.55322254</v>
      </c>
      <c r="J20" s="179">
        <f>$D$18*J5</f>
        <v>297171438.41705304</v>
      </c>
      <c r="K20" s="179">
        <f>$D$18*K5</f>
        <v>304600724.37747937</v>
      </c>
      <c r="L20" s="179">
        <f>$D$18*L5</f>
        <v>312215742.4869163</v>
      </c>
      <c r="M20" s="179">
        <f>$D$18*M5</f>
        <v>320021136.04908913</v>
      </c>
      <c r="N20" s="180">
        <f>(($D$18*N5)/12)*6</f>
        <v>164010832.22515818</v>
      </c>
      <c r="O20" s="181">
        <f>SUM(C20:N20)</f>
        <v>3159877410.2378244</v>
      </c>
    </row>
    <row r="21" spans="2:17" x14ac:dyDescent="0.2">
      <c r="C21" s="94"/>
      <c r="D21" s="3"/>
      <c r="E21" s="3"/>
      <c r="F21" s="3"/>
      <c r="G21" s="3"/>
      <c r="H21" s="3"/>
      <c r="I21" s="3"/>
      <c r="J21" s="3"/>
      <c r="K21" s="3"/>
      <c r="L21" s="3"/>
      <c r="M21" s="3"/>
      <c r="N21" s="3"/>
      <c r="O21" s="8"/>
    </row>
    <row r="22" spans="2:17" ht="27" customHeight="1" x14ac:dyDescent="0.2">
      <c r="B22" s="151" t="s">
        <v>99</v>
      </c>
      <c r="C22" s="151"/>
      <c r="D22" s="151"/>
      <c r="E22" s="151"/>
      <c r="F22" s="151"/>
      <c r="H22" t="s">
        <v>87</v>
      </c>
      <c r="O22" s="5"/>
    </row>
    <row r="23" spans="2:17" ht="25.5" x14ac:dyDescent="0.2">
      <c r="C23" s="3"/>
      <c r="D23" s="3"/>
      <c r="E23" s="3"/>
      <c r="F23" s="3"/>
      <c r="G23" s="3"/>
      <c r="H23" s="3"/>
      <c r="I23" s="3"/>
      <c r="J23" s="3"/>
      <c r="K23" s="3"/>
      <c r="L23" s="3"/>
      <c r="M23" s="3"/>
      <c r="N23" s="3"/>
      <c r="O23" s="171" t="s">
        <v>111</v>
      </c>
    </row>
    <row r="24" spans="2:17" x14ac:dyDescent="0.2">
      <c r="B24" s="185" t="s">
        <v>117</v>
      </c>
      <c r="C24" s="21">
        <f>C7</f>
        <v>2019</v>
      </c>
      <c r="D24" s="21">
        <f t="shared" ref="D24:N24" si="3">D7</f>
        <v>2020</v>
      </c>
      <c r="E24" s="21">
        <f t="shared" si="3"/>
        <v>2021</v>
      </c>
      <c r="F24" s="21">
        <f t="shared" si="3"/>
        <v>2022</v>
      </c>
      <c r="G24" s="21">
        <f t="shared" si="3"/>
        <v>2023</v>
      </c>
      <c r="H24" s="21">
        <f t="shared" si="3"/>
        <v>2024</v>
      </c>
      <c r="I24" s="21">
        <f t="shared" si="3"/>
        <v>2025</v>
      </c>
      <c r="J24" s="21">
        <f t="shared" si="3"/>
        <v>2026</v>
      </c>
      <c r="K24" s="21">
        <f t="shared" si="3"/>
        <v>2027</v>
      </c>
      <c r="L24" s="21">
        <f t="shared" si="3"/>
        <v>2028</v>
      </c>
      <c r="M24" s="21">
        <f t="shared" si="3"/>
        <v>2029</v>
      </c>
      <c r="N24" s="21">
        <f t="shared" si="3"/>
        <v>2030</v>
      </c>
      <c r="O24" s="90"/>
    </row>
    <row r="25" spans="2:17" x14ac:dyDescent="0.2">
      <c r="B25">
        <v>1</v>
      </c>
      <c r="C25" s="97">
        <f>(C9/12)*6/C20</f>
        <v>0.3</v>
      </c>
      <c r="D25" s="97">
        <f t="shared" ref="D25:E25" si="4">D9/D20</f>
        <v>0.30000000000000004</v>
      </c>
      <c r="E25" s="97">
        <f t="shared" si="4"/>
        <v>0.30000000000000004</v>
      </c>
      <c r="F25" s="97">
        <f t="shared" ref="F25:M25" si="5">F9/F20</f>
        <v>0.3</v>
      </c>
      <c r="G25" s="97">
        <f t="shared" si="5"/>
        <v>0.3</v>
      </c>
      <c r="H25" s="97">
        <f t="shared" si="5"/>
        <v>0.29999999999999993</v>
      </c>
      <c r="I25" s="97">
        <f t="shared" si="5"/>
        <v>0.30000000000000004</v>
      </c>
      <c r="J25" s="97">
        <f t="shared" si="5"/>
        <v>0.30000000000000004</v>
      </c>
      <c r="K25" s="97">
        <f t="shared" si="5"/>
        <v>0.3</v>
      </c>
      <c r="L25" s="97">
        <f t="shared" si="5"/>
        <v>0.3</v>
      </c>
      <c r="M25" s="97">
        <f t="shared" si="5"/>
        <v>0.30000000000000004</v>
      </c>
      <c r="N25" s="97">
        <f>(N9/12)*6/N20</f>
        <v>0.3</v>
      </c>
      <c r="O25" s="119">
        <f>O9/O20</f>
        <v>0.3000000000000001</v>
      </c>
    </row>
    <row r="26" spans="2:17" x14ac:dyDescent="0.2">
      <c r="B26">
        <v>2</v>
      </c>
      <c r="C26" s="97">
        <f>(C11/12)*6/C20</f>
        <v>0.2</v>
      </c>
      <c r="D26" s="97">
        <f t="shared" ref="D26:M26" si="6">D11/D20</f>
        <v>0.19999999999999998</v>
      </c>
      <c r="E26" s="97">
        <f t="shared" si="6"/>
        <v>0.19999999999999998</v>
      </c>
      <c r="F26" s="97">
        <f t="shared" si="6"/>
        <v>0.2</v>
      </c>
      <c r="G26" s="97">
        <f t="shared" si="6"/>
        <v>0.19999999999999998</v>
      </c>
      <c r="H26" s="97">
        <f t="shared" si="6"/>
        <v>0.19999999999999998</v>
      </c>
      <c r="I26" s="97">
        <f t="shared" si="6"/>
        <v>0.2</v>
      </c>
      <c r="J26" s="97">
        <f t="shared" si="6"/>
        <v>0.2</v>
      </c>
      <c r="K26" s="97">
        <f t="shared" si="6"/>
        <v>0.19999999999999998</v>
      </c>
      <c r="L26" s="97">
        <f t="shared" si="6"/>
        <v>0.19999999999999998</v>
      </c>
      <c r="M26" s="97">
        <f t="shared" si="6"/>
        <v>0.2</v>
      </c>
      <c r="N26" s="97">
        <f>(N11/12)*6/N20</f>
        <v>0.20000000000000004</v>
      </c>
      <c r="O26" s="119">
        <f>O11/O20</f>
        <v>0.24075514119084368</v>
      </c>
    </row>
    <row r="27" spans="2:17" x14ac:dyDescent="0.2">
      <c r="B27">
        <v>3</v>
      </c>
      <c r="C27" s="97">
        <f>(C13/12)*6/C20</f>
        <v>0.1</v>
      </c>
      <c r="D27" s="97">
        <f t="shared" ref="D27:M27" si="7">D13/D20</f>
        <v>9.9999999999999992E-2</v>
      </c>
      <c r="E27" s="97">
        <f t="shared" si="7"/>
        <v>9.9999999999999992E-2</v>
      </c>
      <c r="F27" s="97">
        <f t="shared" si="7"/>
        <v>0.1</v>
      </c>
      <c r="G27" s="97">
        <f t="shared" si="7"/>
        <v>9.9999999999999992E-2</v>
      </c>
      <c r="H27" s="97">
        <f t="shared" si="7"/>
        <v>9.9999999999999992E-2</v>
      </c>
      <c r="I27" s="97">
        <f t="shared" si="7"/>
        <v>0.1</v>
      </c>
      <c r="J27" s="97">
        <f t="shared" si="7"/>
        <v>0.1</v>
      </c>
      <c r="K27" s="97">
        <f t="shared" si="7"/>
        <v>9.9999999999999992E-2</v>
      </c>
      <c r="L27" s="97">
        <f t="shared" si="7"/>
        <v>9.9999999999999992E-2</v>
      </c>
      <c r="M27" s="97">
        <f t="shared" si="7"/>
        <v>0.1</v>
      </c>
      <c r="N27" s="97">
        <f>((N13/12)*6)/N20</f>
        <v>0.10000000000000002</v>
      </c>
      <c r="O27" s="119">
        <f>O13/O20</f>
        <v>0.12037757059542184</v>
      </c>
    </row>
    <row r="30" spans="2:17" ht="27" customHeight="1" x14ac:dyDescent="0.2">
      <c r="B30" s="200" t="s">
        <v>94</v>
      </c>
      <c r="C30" s="200"/>
      <c r="D30" s="200"/>
      <c r="E30" s="200"/>
      <c r="F30" s="200"/>
    </row>
    <row r="31" spans="2:17" ht="13.5" thickBot="1" x14ac:dyDescent="0.25"/>
    <row r="32" spans="2:17" ht="13.5" thickBot="1" x14ac:dyDescent="0.25">
      <c r="B32" s="190" t="s">
        <v>89</v>
      </c>
      <c r="C32" s="191"/>
      <c r="D32" s="191"/>
      <c r="E32" s="191"/>
      <c r="F32" s="191"/>
      <c r="G32" s="191"/>
      <c r="H32" s="191"/>
      <c r="I32" s="191"/>
      <c r="J32" s="191"/>
      <c r="K32" s="191"/>
      <c r="L32" s="191"/>
      <c r="M32" s="191"/>
      <c r="N32" s="192"/>
    </row>
    <row r="33" spans="2:14" x14ac:dyDescent="0.2">
      <c r="B33" s="109"/>
      <c r="C33" s="110"/>
      <c r="D33" s="110"/>
      <c r="E33" s="110"/>
      <c r="F33" s="110"/>
      <c r="G33" s="110"/>
      <c r="H33" s="110"/>
      <c r="I33" s="110"/>
      <c r="J33" s="110"/>
      <c r="K33" s="110"/>
      <c r="L33" s="110"/>
      <c r="M33" s="110"/>
      <c r="N33" s="111"/>
    </row>
    <row r="34" spans="2:14" x14ac:dyDescent="0.2">
      <c r="B34" s="125" t="s">
        <v>2</v>
      </c>
      <c r="C34" s="126">
        <v>2019</v>
      </c>
      <c r="D34" s="126">
        <v>2020</v>
      </c>
      <c r="E34" s="126">
        <v>2021</v>
      </c>
      <c r="F34" s="126">
        <v>2022</v>
      </c>
      <c r="G34" s="126">
        <v>2023</v>
      </c>
      <c r="H34" s="126">
        <v>2024</v>
      </c>
      <c r="I34" s="126">
        <v>2025</v>
      </c>
      <c r="J34" s="126">
        <v>2026</v>
      </c>
      <c r="K34" s="126">
        <v>2027</v>
      </c>
      <c r="L34" s="126">
        <v>2028</v>
      </c>
      <c r="M34" s="126">
        <v>2029</v>
      </c>
      <c r="N34" s="127">
        <v>2030</v>
      </c>
    </row>
    <row r="35" spans="2:14" x14ac:dyDescent="0.2">
      <c r="B35" s="4" t="s">
        <v>3</v>
      </c>
      <c r="C35" s="133" t="s">
        <v>17</v>
      </c>
      <c r="D35" s="152">
        <v>0.45</v>
      </c>
      <c r="E35" s="152">
        <v>0.6</v>
      </c>
      <c r="F35" s="152">
        <v>0.7</v>
      </c>
      <c r="G35" s="152">
        <v>0.7</v>
      </c>
      <c r="H35" s="152">
        <v>0.85</v>
      </c>
      <c r="I35" s="152">
        <v>0.85</v>
      </c>
      <c r="J35" s="152">
        <v>0.9</v>
      </c>
      <c r="K35" s="152">
        <v>0.9</v>
      </c>
      <c r="L35" s="152">
        <v>0.9</v>
      </c>
      <c r="M35" s="152">
        <v>0.9</v>
      </c>
      <c r="N35" s="154">
        <v>0.9</v>
      </c>
    </row>
    <row r="36" spans="2:14" x14ac:dyDescent="0.2">
      <c r="B36" s="4" t="s">
        <v>4</v>
      </c>
      <c r="C36" s="133" t="s">
        <v>17</v>
      </c>
      <c r="D36" s="152">
        <v>0.45</v>
      </c>
      <c r="E36" s="152">
        <v>0.6</v>
      </c>
      <c r="F36" s="152">
        <v>0.7</v>
      </c>
      <c r="G36" s="152">
        <v>0.7</v>
      </c>
      <c r="H36" s="152">
        <v>0.85</v>
      </c>
      <c r="I36" s="152">
        <v>0.85</v>
      </c>
      <c r="J36" s="152">
        <v>0.9</v>
      </c>
      <c r="K36" s="152">
        <v>0.9</v>
      </c>
      <c r="L36" s="152">
        <v>0.9</v>
      </c>
      <c r="M36" s="152">
        <v>0.9</v>
      </c>
      <c r="N36" s="154">
        <v>0.9</v>
      </c>
    </row>
    <row r="37" spans="2:14" x14ac:dyDescent="0.2">
      <c r="B37" s="4" t="s">
        <v>5</v>
      </c>
      <c r="C37" s="133" t="s">
        <v>17</v>
      </c>
      <c r="D37" s="152">
        <v>0.45</v>
      </c>
      <c r="E37" s="152">
        <v>0.6</v>
      </c>
      <c r="F37" s="152">
        <v>0.7</v>
      </c>
      <c r="G37" s="152">
        <v>0.7</v>
      </c>
      <c r="H37" s="152">
        <v>0.85</v>
      </c>
      <c r="I37" s="152">
        <v>0.85</v>
      </c>
      <c r="J37" s="152">
        <v>0.9</v>
      </c>
      <c r="K37" s="152">
        <v>0.9</v>
      </c>
      <c r="L37" s="152">
        <v>0.9</v>
      </c>
      <c r="M37" s="152">
        <v>0.9</v>
      </c>
      <c r="N37" s="154">
        <v>0.9</v>
      </c>
    </row>
    <row r="38" spans="2:14" x14ac:dyDescent="0.2">
      <c r="B38" s="4" t="s">
        <v>6</v>
      </c>
      <c r="C38" s="133" t="s">
        <v>17</v>
      </c>
      <c r="D38" s="152">
        <v>0.45</v>
      </c>
      <c r="E38" s="152">
        <v>0.6</v>
      </c>
      <c r="F38" s="152">
        <v>0.7</v>
      </c>
      <c r="G38" s="152">
        <v>0.7</v>
      </c>
      <c r="H38" s="152">
        <v>0.85</v>
      </c>
      <c r="I38" s="152">
        <v>0.85</v>
      </c>
      <c r="J38" s="152">
        <v>0.9</v>
      </c>
      <c r="K38" s="152">
        <v>0.9</v>
      </c>
      <c r="L38" s="152">
        <v>0.9</v>
      </c>
      <c r="M38" s="152">
        <v>0.9</v>
      </c>
      <c r="N38" s="154">
        <v>0.9</v>
      </c>
    </row>
    <row r="39" spans="2:14" x14ac:dyDescent="0.2">
      <c r="B39" s="4" t="s">
        <v>7</v>
      </c>
      <c r="C39" s="133" t="s">
        <v>17</v>
      </c>
      <c r="D39" s="152">
        <v>0.45</v>
      </c>
      <c r="E39" s="152">
        <v>0.6</v>
      </c>
      <c r="F39" s="152">
        <v>0.7</v>
      </c>
      <c r="G39" s="152">
        <v>0.7</v>
      </c>
      <c r="H39" s="152">
        <v>0.85</v>
      </c>
      <c r="I39" s="152">
        <v>0.85</v>
      </c>
      <c r="J39" s="152">
        <v>0.9</v>
      </c>
      <c r="K39" s="152">
        <v>0.9</v>
      </c>
      <c r="L39" s="152">
        <v>0.9</v>
      </c>
      <c r="M39" s="152">
        <v>0.9</v>
      </c>
      <c r="N39" s="154">
        <v>0.9</v>
      </c>
    </row>
    <row r="40" spans="2:14" x14ac:dyDescent="0.2">
      <c r="B40" s="4" t="s">
        <v>8</v>
      </c>
      <c r="C40" s="133" t="s">
        <v>17</v>
      </c>
      <c r="D40" s="152">
        <v>0.5</v>
      </c>
      <c r="E40" s="152">
        <v>0.6</v>
      </c>
      <c r="F40" s="152">
        <v>0.7</v>
      </c>
      <c r="G40" s="152">
        <v>0.7</v>
      </c>
      <c r="H40" s="152">
        <v>0.85</v>
      </c>
      <c r="I40" s="152">
        <v>0.85</v>
      </c>
      <c r="J40" s="152">
        <v>0.9</v>
      </c>
      <c r="K40" s="152">
        <v>0.9</v>
      </c>
      <c r="L40" s="152">
        <v>0.9</v>
      </c>
      <c r="M40" s="152">
        <v>0.9</v>
      </c>
      <c r="N40" s="154">
        <v>0.9</v>
      </c>
    </row>
    <row r="41" spans="2:14" x14ac:dyDescent="0.2">
      <c r="B41" s="4" t="s">
        <v>9</v>
      </c>
      <c r="C41" s="152">
        <v>0.3</v>
      </c>
      <c r="D41" s="152">
        <v>0.5</v>
      </c>
      <c r="E41" s="152">
        <v>0.6</v>
      </c>
      <c r="F41" s="152">
        <v>0.7</v>
      </c>
      <c r="G41" s="152">
        <v>0.7</v>
      </c>
      <c r="H41" s="152">
        <v>0.85</v>
      </c>
      <c r="I41" s="152">
        <v>0.85</v>
      </c>
      <c r="J41" s="152">
        <v>0.9</v>
      </c>
      <c r="K41" s="152">
        <v>0.9</v>
      </c>
      <c r="L41" s="152">
        <v>0.9</v>
      </c>
      <c r="M41" s="152">
        <v>0.9</v>
      </c>
      <c r="N41" s="31" t="s">
        <v>17</v>
      </c>
    </row>
    <row r="42" spans="2:14" x14ac:dyDescent="0.2">
      <c r="B42" s="4" t="s">
        <v>10</v>
      </c>
      <c r="C42" s="152">
        <v>0.35</v>
      </c>
      <c r="D42" s="152">
        <v>0.55000000000000004</v>
      </c>
      <c r="E42" s="152">
        <v>0.65</v>
      </c>
      <c r="F42" s="152">
        <v>0.7</v>
      </c>
      <c r="G42" s="152">
        <v>0.75</v>
      </c>
      <c r="H42" s="152">
        <v>0.85</v>
      </c>
      <c r="I42" s="152">
        <v>0.9</v>
      </c>
      <c r="J42" s="152">
        <v>0.9</v>
      </c>
      <c r="K42" s="152">
        <v>0.9</v>
      </c>
      <c r="L42" s="152">
        <v>0.9</v>
      </c>
      <c r="M42" s="152">
        <v>0.9</v>
      </c>
      <c r="N42" s="31" t="s">
        <v>17</v>
      </c>
    </row>
    <row r="43" spans="2:14" x14ac:dyDescent="0.2">
      <c r="B43" s="4" t="s">
        <v>11</v>
      </c>
      <c r="C43" s="152">
        <v>0.4</v>
      </c>
      <c r="D43" s="152">
        <v>0.55000000000000004</v>
      </c>
      <c r="E43" s="152">
        <v>0.65</v>
      </c>
      <c r="F43" s="152">
        <v>0.7</v>
      </c>
      <c r="G43" s="152">
        <v>0.8</v>
      </c>
      <c r="H43" s="152">
        <v>0.85</v>
      </c>
      <c r="I43" s="152">
        <v>0.9</v>
      </c>
      <c r="J43" s="152">
        <v>0.9</v>
      </c>
      <c r="K43" s="152">
        <v>0.9</v>
      </c>
      <c r="L43" s="152">
        <v>0.9</v>
      </c>
      <c r="M43" s="152">
        <v>0.9</v>
      </c>
      <c r="N43" s="31" t="s">
        <v>17</v>
      </c>
    </row>
    <row r="44" spans="2:14" x14ac:dyDescent="0.2">
      <c r="B44" s="4" t="s">
        <v>12</v>
      </c>
      <c r="C44" s="152">
        <v>0.4</v>
      </c>
      <c r="D44" s="152">
        <v>0.6</v>
      </c>
      <c r="E44" s="152">
        <v>0.7</v>
      </c>
      <c r="F44" s="152">
        <v>0.7</v>
      </c>
      <c r="G44" s="152">
        <v>0.8</v>
      </c>
      <c r="H44" s="152">
        <v>0.85</v>
      </c>
      <c r="I44" s="152">
        <v>0.9</v>
      </c>
      <c r="J44" s="152">
        <v>0.9</v>
      </c>
      <c r="K44" s="152">
        <v>0.9</v>
      </c>
      <c r="L44" s="152">
        <v>0.9</v>
      </c>
      <c r="M44" s="152">
        <v>0.9</v>
      </c>
      <c r="N44" s="31" t="s">
        <v>17</v>
      </c>
    </row>
    <row r="45" spans="2:14" x14ac:dyDescent="0.2">
      <c r="B45" s="4" t="s">
        <v>13</v>
      </c>
      <c r="C45" s="152">
        <v>0.4</v>
      </c>
      <c r="D45" s="152">
        <v>0.6</v>
      </c>
      <c r="E45" s="152">
        <v>0.7</v>
      </c>
      <c r="F45" s="152">
        <v>0.7</v>
      </c>
      <c r="G45" s="152">
        <v>0.85</v>
      </c>
      <c r="H45" s="152">
        <v>0.85</v>
      </c>
      <c r="I45" s="152">
        <v>0.9</v>
      </c>
      <c r="J45" s="152">
        <v>0.9</v>
      </c>
      <c r="K45" s="152">
        <v>0.9</v>
      </c>
      <c r="L45" s="152">
        <v>0.9</v>
      </c>
      <c r="M45" s="152">
        <v>0.9</v>
      </c>
      <c r="N45" s="31" t="s">
        <v>17</v>
      </c>
    </row>
    <row r="46" spans="2:14" ht="13.5" thickBot="1" x14ac:dyDescent="0.25">
      <c r="B46" s="7" t="s">
        <v>14</v>
      </c>
      <c r="C46" s="153">
        <v>0.4</v>
      </c>
      <c r="D46" s="153">
        <v>0.6</v>
      </c>
      <c r="E46" s="153">
        <v>0.7</v>
      </c>
      <c r="F46" s="153">
        <v>0.7</v>
      </c>
      <c r="G46" s="153">
        <v>0.85</v>
      </c>
      <c r="H46" s="153">
        <v>0.85</v>
      </c>
      <c r="I46" s="153">
        <v>0.9</v>
      </c>
      <c r="J46" s="153">
        <v>0.9</v>
      </c>
      <c r="K46" s="153">
        <v>0.9</v>
      </c>
      <c r="L46" s="153">
        <v>0.9</v>
      </c>
      <c r="M46" s="153">
        <v>0.9</v>
      </c>
      <c r="N46" s="134" t="s">
        <v>17</v>
      </c>
    </row>
    <row r="48" spans="2:14" x14ac:dyDescent="0.2">
      <c r="B48" s="201"/>
      <c r="C48" s="201"/>
      <c r="D48" s="201"/>
      <c r="E48" s="201"/>
      <c r="F48" s="201"/>
      <c r="G48" s="201"/>
      <c r="H48" s="201"/>
      <c r="I48" s="201"/>
      <c r="J48" s="201"/>
      <c r="K48" s="201"/>
      <c r="L48" s="201"/>
      <c r="M48" s="201"/>
      <c r="N48" s="201"/>
    </row>
    <row r="49" spans="3:6" x14ac:dyDescent="0.2">
      <c r="C49" t="s">
        <v>112</v>
      </c>
      <c r="F49" s="172">
        <f>AVERAGE(C41:M46,D35:N40)</f>
        <v>0.77727272727272811</v>
      </c>
    </row>
    <row r="80" spans="5:16" x14ac:dyDescent="0.2">
      <c r="E80" s="148"/>
      <c r="F80" s="148"/>
      <c r="G80" s="148"/>
      <c r="H80" s="102"/>
      <c r="I80" s="102"/>
      <c r="J80" s="102"/>
      <c r="K80" s="102"/>
      <c r="L80" s="102"/>
      <c r="M80" s="102"/>
      <c r="N80" s="102"/>
      <c r="O80" s="102"/>
      <c r="P80" s="102"/>
    </row>
    <row r="81" spans="5:17" x14ac:dyDescent="0.2">
      <c r="E81" s="94"/>
      <c r="F81" s="94"/>
      <c r="G81" s="94"/>
      <c r="H81" s="94"/>
      <c r="I81" s="94"/>
      <c r="J81" s="94"/>
      <c r="K81" s="94"/>
      <c r="L81" s="94"/>
      <c r="M81" s="94"/>
      <c r="N81" s="94"/>
      <c r="O81" s="94"/>
      <c r="P81" s="94"/>
      <c r="Q81" s="128"/>
    </row>
  </sheetData>
  <protectedRanges>
    <protectedRange algorithmName="SHA-512" hashValue="Oi2ku8m41XmXxG2P0fPKRJXxR18qh2ORlqH4YC2vAD1M7yrVATdI0IB+RiGgamwWMCO/8wv/obxNinfzSWobXA==" saltValue="MHjbTwiwoeG5E3EglbdCfQ==" spinCount="100000" sqref="C41:M46 D35:N40" name="Målplan"/>
  </protectedRanges>
  <mergeCells count="5">
    <mergeCell ref="B2:F2"/>
    <mergeCell ref="B16:F16"/>
    <mergeCell ref="B30:F30"/>
    <mergeCell ref="B32:N32"/>
    <mergeCell ref="B48:N48"/>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8"/>
  <sheetViews>
    <sheetView showGridLines="0" zoomScaleNormal="100" workbookViewId="0">
      <selection activeCell="D29" sqref="D29"/>
    </sheetView>
  </sheetViews>
  <sheetFormatPr defaultColWidth="8.85546875" defaultRowHeight="12.75" x14ac:dyDescent="0.2"/>
  <cols>
    <col min="1" max="1" width="3.5703125" customWidth="1"/>
    <col min="2" max="2" width="16.140625" bestFit="1" customWidth="1"/>
    <col min="3" max="3" width="10.7109375" customWidth="1"/>
    <col min="4" max="4" width="16.28515625" bestFit="1" customWidth="1"/>
    <col min="5" max="5" width="16.140625" bestFit="1" customWidth="1"/>
    <col min="6" max="10" width="14.5703125" bestFit="1" customWidth="1"/>
    <col min="11" max="12" width="16.140625" bestFit="1" customWidth="1"/>
    <col min="13" max="13" width="14.5703125" bestFit="1" customWidth="1"/>
    <col min="14" max="14" width="14.5703125" customWidth="1"/>
    <col min="15" max="15" width="14.5703125" bestFit="1" customWidth="1"/>
    <col min="16" max="16" width="2.7109375" customWidth="1"/>
    <col min="17" max="17" width="16.140625" bestFit="1" customWidth="1"/>
    <col min="18" max="30" width="8.85546875" hidden="1" customWidth="1"/>
  </cols>
  <sheetData>
    <row r="1" spans="1:44" ht="27" customHeight="1" x14ac:dyDescent="0.2">
      <c r="A1" s="151" t="s">
        <v>101</v>
      </c>
      <c r="B1" s="151"/>
      <c r="C1" s="151"/>
      <c r="D1" s="151"/>
      <c r="E1" s="151"/>
    </row>
    <row r="2" spans="1:44" ht="20.25" x14ac:dyDescent="0.2">
      <c r="A2" s="151"/>
      <c r="D2" s="1"/>
      <c r="E2" s="1"/>
      <c r="F2" s="1"/>
      <c r="G2" s="1"/>
      <c r="H2" s="1"/>
      <c r="I2" s="1"/>
      <c r="J2" s="1"/>
      <c r="K2" s="1"/>
      <c r="L2" s="1"/>
      <c r="M2" s="1"/>
      <c r="N2" s="1"/>
      <c r="O2" s="1"/>
    </row>
    <row r="3" spans="1:44" ht="26.25" thickBot="1" x14ac:dyDescent="0.25">
      <c r="B3" s="158" t="s">
        <v>102</v>
      </c>
      <c r="D3" s="166">
        <v>2019</v>
      </c>
      <c r="E3" s="166">
        <v>2020</v>
      </c>
      <c r="F3" s="166">
        <v>2021</v>
      </c>
      <c r="G3" s="166">
        <v>2022</v>
      </c>
      <c r="H3" s="166">
        <v>2023</v>
      </c>
      <c r="I3" s="166">
        <v>2024</v>
      </c>
      <c r="J3" s="166">
        <v>2025</v>
      </c>
      <c r="K3" s="166">
        <v>2026</v>
      </c>
      <c r="L3" s="166">
        <v>2027</v>
      </c>
      <c r="M3" s="166">
        <v>2028</v>
      </c>
      <c r="N3" s="166">
        <v>2029</v>
      </c>
      <c r="O3" s="166">
        <v>2030</v>
      </c>
    </row>
    <row r="4" spans="1:44" ht="23.25" thickBot="1" x14ac:dyDescent="0.25">
      <c r="B4" s="183">
        <v>3</v>
      </c>
      <c r="C4" s="176" t="s">
        <v>118</v>
      </c>
      <c r="D4" s="182">
        <f>IF($B$4=1,Inndata!C$9,IF($B$4=2,Inndata!C$11,IF($B$4=3,Inndata!C$13,"Ugyldig alternativ valgt")))</f>
        <v>25000000</v>
      </c>
      <c r="E4" s="182">
        <f>IF($B$4=1,Inndata!D$9,IF($B$4=2,Inndata!D$11,IF($B$4=3,Inndata!D$13,"Ugyldig alternativ valgt")))</f>
        <v>25624999.999999996</v>
      </c>
      <c r="F4" s="182">
        <f>IF($B$4=1,Inndata!E$9,IF($B$4=2,Inndata!E$11,IF($B$4=3,Inndata!E$13,"Ugyldig alternativ valgt")))</f>
        <v>26265624.999999996</v>
      </c>
      <c r="G4" s="182">
        <f>IF($B$4=1,Inndata!F$9,IF($B$4=2,Inndata!F$11,IF($B$4=3,Inndata!F$13,"Ugyldig alternativ valgt")))</f>
        <v>26922265.624999996</v>
      </c>
      <c r="H4" s="182">
        <f>IF($B$4=1,Inndata!G$9,IF($B$4=2,Inndata!G$11,IF($B$4=3,Inndata!G$13,"Ugyldig alternativ valgt")))</f>
        <v>27595322.265624993</v>
      </c>
      <c r="I4" s="182">
        <f>IF($B$4=1,Inndata!H$9,IF($B$4=2,Inndata!H$11,IF($B$4=3,Inndata!H$13,"Ugyldig alternativ valgt")))</f>
        <v>28285205.322265618</v>
      </c>
      <c r="J4" s="182">
        <f>IF($B$4=1,Inndata!I$9,IF($B$4=2,Inndata!I$11,IF($B$4=3,Inndata!I$13,"Ugyldig alternativ valgt")))</f>
        <v>28992335.455322254</v>
      </c>
      <c r="K4" s="182">
        <f>IF($B$4=1,Inndata!J$9,IF($B$4=2,Inndata!J$11,IF($B$4=3,Inndata!J$13,"Ugyldig alternativ valgt")))</f>
        <v>29717143.841705307</v>
      </c>
      <c r="L4" s="182">
        <f>IF($B$4=1,Inndata!K$9,IF($B$4=2,Inndata!K$11,IF($B$4=3,Inndata!K$13,"Ugyldig alternativ valgt")))</f>
        <v>30460072.437747937</v>
      </c>
      <c r="M4" s="182">
        <f>IF($B$4=1,Inndata!L$9,IF($B$4=2,Inndata!L$11,IF($B$4=3,Inndata!L$13,"Ugyldig alternativ valgt")))</f>
        <v>31221574.24869163</v>
      </c>
      <c r="N4" s="182">
        <f>IF($B$4=1,Inndata!M$9,IF($B$4=2,Inndata!M$11,IF($B$4=3,Inndata!M$13,"Ugyldig alternativ valgt")))</f>
        <v>32002113.604908917</v>
      </c>
      <c r="O4" s="182">
        <f>IF($B$4=1,Inndata!N$9,IF($B$4=2,Inndata!N$11,IF($B$4=3,Inndata!N$13,"Ugyldig alternativ valgt")))</f>
        <v>32802166.445031639</v>
      </c>
      <c r="P4" s="2"/>
      <c r="Q4" s="3"/>
    </row>
    <row r="5" spans="1:44" x14ac:dyDescent="0.2">
      <c r="D5" s="147">
        <f>(IF($B$4=1,D4,D4*2)/12)*6</f>
        <v>25000000</v>
      </c>
      <c r="E5" s="147">
        <f>(IF($B$4=1,E4,E4*2))</f>
        <v>51249999.999999993</v>
      </c>
      <c r="F5" s="147">
        <f>(IF($B$4=1,F4,F4*2))</f>
        <v>52531249.999999993</v>
      </c>
      <c r="G5" s="147">
        <f t="shared" ref="G5:N5" si="0">G4</f>
        <v>26922265.624999996</v>
      </c>
      <c r="H5" s="147">
        <f t="shared" si="0"/>
        <v>27595322.265624993</v>
      </c>
      <c r="I5" s="147">
        <f t="shared" si="0"/>
        <v>28285205.322265618</v>
      </c>
      <c r="J5" s="147">
        <f t="shared" si="0"/>
        <v>28992335.455322254</v>
      </c>
      <c r="K5" s="147">
        <f t="shared" si="0"/>
        <v>29717143.841705307</v>
      </c>
      <c r="L5" s="147">
        <f t="shared" si="0"/>
        <v>30460072.437747937</v>
      </c>
      <c r="M5" s="147">
        <f t="shared" si="0"/>
        <v>31221574.24869163</v>
      </c>
      <c r="N5" s="147">
        <f t="shared" si="0"/>
        <v>32002113.604908917</v>
      </c>
      <c r="O5" s="147">
        <f>(O4/12)*6</f>
        <v>16401083.222515821</v>
      </c>
      <c r="Q5" s="3"/>
    </row>
    <row r="6" spans="1:44" x14ac:dyDescent="0.2">
      <c r="B6" s="3"/>
      <c r="C6" s="156" t="s">
        <v>100</v>
      </c>
      <c r="D6" s="2">
        <f>D5/6</f>
        <v>4166666.6666666665</v>
      </c>
      <c r="E6" s="2">
        <f>E5/12</f>
        <v>4270833.333333333</v>
      </c>
      <c r="F6" s="2">
        <f t="shared" ref="F6:N6" si="1">F5/12</f>
        <v>4377604.166666666</v>
      </c>
      <c r="G6" s="2">
        <f t="shared" si="1"/>
        <v>2243522.1354166665</v>
      </c>
      <c r="H6" s="2">
        <f t="shared" si="1"/>
        <v>2299610.1888020826</v>
      </c>
      <c r="I6" s="2">
        <f t="shared" si="1"/>
        <v>2357100.4435221348</v>
      </c>
      <c r="J6" s="2">
        <f t="shared" si="1"/>
        <v>2416027.954610188</v>
      </c>
      <c r="K6" s="2">
        <f t="shared" si="1"/>
        <v>2476428.6534754424</v>
      </c>
      <c r="L6" s="2">
        <f t="shared" si="1"/>
        <v>2538339.3698123279</v>
      </c>
      <c r="M6" s="2">
        <f t="shared" si="1"/>
        <v>2601797.8540576356</v>
      </c>
      <c r="N6" s="2">
        <f t="shared" si="1"/>
        <v>2666842.8004090763</v>
      </c>
      <c r="O6" s="2">
        <f>O5/12</f>
        <v>1366756.9352096517</v>
      </c>
      <c r="R6" s="202" t="s">
        <v>95</v>
      </c>
      <c r="S6" s="202"/>
      <c r="T6" s="202"/>
      <c r="U6" s="202"/>
      <c r="V6" s="202"/>
      <c r="W6" s="202"/>
      <c r="X6" s="202"/>
      <c r="Y6" s="202"/>
      <c r="Z6" s="202"/>
      <c r="AA6" s="202"/>
      <c r="AB6" s="202"/>
      <c r="AC6" s="202"/>
      <c r="AD6" s="202"/>
    </row>
    <row r="7" spans="1:44" ht="13.5" thickBot="1" x14ac:dyDescent="0.25"/>
    <row r="8" spans="1:44" ht="13.5" thickBot="1" x14ac:dyDescent="0.25">
      <c r="C8" s="190" t="s">
        <v>97</v>
      </c>
      <c r="D8" s="191"/>
      <c r="E8" s="191"/>
      <c r="F8" s="191"/>
      <c r="G8" s="191"/>
      <c r="H8" s="191"/>
      <c r="I8" s="191"/>
      <c r="J8" s="191"/>
      <c r="K8" s="191"/>
      <c r="L8" s="191"/>
      <c r="M8" s="191"/>
      <c r="N8" s="191"/>
      <c r="O8" s="192"/>
      <c r="R8" s="190" t="s">
        <v>89</v>
      </c>
      <c r="S8" s="191"/>
      <c r="T8" s="191"/>
      <c r="U8" s="191"/>
      <c r="V8" s="191"/>
      <c r="W8" s="191"/>
      <c r="X8" s="191"/>
      <c r="Y8" s="191"/>
      <c r="Z8" s="191"/>
      <c r="AA8" s="191"/>
      <c r="AB8" s="191"/>
      <c r="AC8" s="191"/>
      <c r="AD8" s="192"/>
      <c r="AF8" s="190" t="s">
        <v>107</v>
      </c>
      <c r="AG8" s="191"/>
      <c r="AH8" s="191"/>
      <c r="AI8" s="191"/>
      <c r="AJ8" s="191"/>
      <c r="AK8" s="191"/>
      <c r="AL8" s="191"/>
      <c r="AM8" s="191"/>
      <c r="AN8" s="191"/>
      <c r="AO8" s="191"/>
      <c r="AP8" s="191"/>
      <c r="AQ8" s="191"/>
      <c r="AR8" s="192"/>
    </row>
    <row r="9" spans="1:44" x14ac:dyDescent="0.2">
      <c r="A9" s="159"/>
      <c r="C9" s="109"/>
      <c r="D9" s="110"/>
      <c r="E9" s="110"/>
      <c r="F9" s="110"/>
      <c r="G9" s="110"/>
      <c r="H9" s="110"/>
      <c r="I9" s="110"/>
      <c r="J9" s="110"/>
      <c r="K9" s="110"/>
      <c r="L9" s="110"/>
      <c r="M9" s="110"/>
      <c r="N9" s="110"/>
      <c r="O9" s="111"/>
      <c r="R9" s="109"/>
      <c r="S9" s="110"/>
      <c r="T9" s="110"/>
      <c r="U9" s="110"/>
      <c r="V9" s="110"/>
      <c r="W9" s="110"/>
      <c r="X9" s="110"/>
      <c r="Y9" s="110"/>
      <c r="Z9" s="110"/>
      <c r="AA9" s="110"/>
      <c r="AB9" s="110"/>
      <c r="AC9" s="110"/>
      <c r="AD9" s="111"/>
      <c r="AF9" s="4"/>
      <c r="AG9" s="5"/>
      <c r="AH9" s="5"/>
      <c r="AI9" s="5"/>
      <c r="AJ9" s="5"/>
      <c r="AK9" s="5"/>
      <c r="AL9" s="5"/>
      <c r="AM9" s="5"/>
      <c r="AN9" s="5"/>
      <c r="AO9" s="5"/>
      <c r="AP9" s="5"/>
      <c r="AQ9" s="5"/>
      <c r="AR9" s="6"/>
    </row>
    <row r="10" spans="1:44" x14ac:dyDescent="0.2">
      <c r="A10" s="159"/>
      <c r="C10" s="125" t="s">
        <v>2</v>
      </c>
      <c r="D10" s="126">
        <v>2019</v>
      </c>
      <c r="E10" s="126">
        <v>2020</v>
      </c>
      <c r="F10" s="126">
        <v>2021</v>
      </c>
      <c r="G10" s="126">
        <v>2022</v>
      </c>
      <c r="H10" s="126">
        <v>2023</v>
      </c>
      <c r="I10" s="126">
        <v>2024</v>
      </c>
      <c r="J10" s="126">
        <v>2025</v>
      </c>
      <c r="K10" s="126">
        <v>2026</v>
      </c>
      <c r="L10" s="126">
        <v>2027</v>
      </c>
      <c r="M10" s="126">
        <v>2028</v>
      </c>
      <c r="N10" s="126">
        <v>2029</v>
      </c>
      <c r="O10" s="127">
        <v>2030</v>
      </c>
      <c r="R10" s="125" t="s">
        <v>2</v>
      </c>
      <c r="S10" s="126">
        <v>2019</v>
      </c>
      <c r="T10" s="126">
        <v>2020</v>
      </c>
      <c r="U10" s="126">
        <v>2021</v>
      </c>
      <c r="V10" s="126">
        <v>2022</v>
      </c>
      <c r="W10" s="126">
        <v>2023</v>
      </c>
      <c r="X10" s="126">
        <v>2024</v>
      </c>
      <c r="Y10" s="126">
        <v>2025</v>
      </c>
      <c r="Z10" s="126">
        <v>2026</v>
      </c>
      <c r="AA10" s="126">
        <v>2027</v>
      </c>
      <c r="AB10" s="126">
        <v>2028</v>
      </c>
      <c r="AC10" s="126">
        <v>2029</v>
      </c>
      <c r="AD10" s="127">
        <v>2030</v>
      </c>
      <c r="AF10" s="35" t="s">
        <v>2</v>
      </c>
      <c r="AG10" s="36">
        <v>2019</v>
      </c>
      <c r="AH10" s="36">
        <v>2020</v>
      </c>
      <c r="AI10" s="36">
        <v>2021</v>
      </c>
      <c r="AJ10" s="36">
        <v>2022</v>
      </c>
      <c r="AK10" s="36">
        <v>2023</v>
      </c>
      <c r="AL10" s="36">
        <v>2024</v>
      </c>
      <c r="AM10" s="36">
        <v>2025</v>
      </c>
      <c r="AN10" s="36">
        <v>2026</v>
      </c>
      <c r="AO10" s="36">
        <v>2027</v>
      </c>
      <c r="AP10" s="36">
        <v>2028</v>
      </c>
      <c r="AQ10" s="36">
        <v>2029</v>
      </c>
      <c r="AR10" s="37">
        <v>2030</v>
      </c>
    </row>
    <row r="11" spans="1:44" x14ac:dyDescent="0.2">
      <c r="A11" s="159"/>
      <c r="C11" s="4" t="s">
        <v>3</v>
      </c>
      <c r="D11" s="133" t="s">
        <v>17</v>
      </c>
      <c r="E11" s="160">
        <f t="shared" ref="E11:E16" si="2">T11</f>
        <v>0.45</v>
      </c>
      <c r="F11" s="160">
        <f t="shared" ref="F11:F16" si="3">U11</f>
        <v>0.6</v>
      </c>
      <c r="G11" s="160">
        <f t="shared" ref="G11:G16" si="4">V11</f>
        <v>0.7</v>
      </c>
      <c r="H11" s="160">
        <f t="shared" ref="H11:H16" si="5">W11</f>
        <v>0.7</v>
      </c>
      <c r="I11" s="160">
        <f t="shared" ref="I11:I16" si="6">X11</f>
        <v>0.85</v>
      </c>
      <c r="J11" s="160">
        <f t="shared" ref="J11:J16" si="7">Y11</f>
        <v>0.85</v>
      </c>
      <c r="K11" s="160">
        <f t="shared" ref="K11:K16" si="8">Z11</f>
        <v>0.9</v>
      </c>
      <c r="L11" s="160">
        <f t="shared" ref="L11:L16" si="9">AA11</f>
        <v>0.9</v>
      </c>
      <c r="M11" s="160">
        <f t="shared" ref="M11:M16" si="10">AB11</f>
        <v>0.9</v>
      </c>
      <c r="N11" s="160">
        <f t="shared" ref="N11:N16" si="11">AC11</f>
        <v>0.9</v>
      </c>
      <c r="O11" s="162">
        <f t="shared" ref="O11:O16" si="12">AD11</f>
        <v>0.9</v>
      </c>
      <c r="R11" s="4" t="s">
        <v>3</v>
      </c>
      <c r="S11" s="133" t="str">
        <f>Inndata!C35</f>
        <v>-</v>
      </c>
      <c r="T11" s="29">
        <f>Inndata!D35</f>
        <v>0.45</v>
      </c>
      <c r="U11" s="29">
        <f>Inndata!E35</f>
        <v>0.6</v>
      </c>
      <c r="V11" s="29">
        <f>Inndata!F35</f>
        <v>0.7</v>
      </c>
      <c r="W11" s="29">
        <f>Inndata!G35</f>
        <v>0.7</v>
      </c>
      <c r="X11" s="29">
        <f>Inndata!H35</f>
        <v>0.85</v>
      </c>
      <c r="Y11" s="29">
        <f>Inndata!I35</f>
        <v>0.85</v>
      </c>
      <c r="Z11" s="29">
        <f>Inndata!J35</f>
        <v>0.9</v>
      </c>
      <c r="AA11" s="29">
        <f>Inndata!K35</f>
        <v>0.9</v>
      </c>
      <c r="AB11" s="29">
        <f>Inndata!L35</f>
        <v>0.9</v>
      </c>
      <c r="AC11" s="29">
        <f>Inndata!M35</f>
        <v>0.9</v>
      </c>
      <c r="AD11" s="30">
        <f>Inndata!N35</f>
        <v>0.9</v>
      </c>
      <c r="AF11" s="4" t="s">
        <v>3</v>
      </c>
      <c r="AG11" s="27"/>
      <c r="AH11" s="28">
        <f t="shared" ref="AH11:AH22" si="13">E11-T11</f>
        <v>0</v>
      </c>
      <c r="AI11" s="28">
        <f t="shared" ref="AI11:AI22" si="14">F11-U11</f>
        <v>0</v>
      </c>
      <c r="AJ11" s="28">
        <f t="shared" ref="AJ11:AJ22" si="15">G11-V11</f>
        <v>0</v>
      </c>
      <c r="AK11" s="28">
        <f t="shared" ref="AK11:AK22" si="16">H11-W11</f>
        <v>0</v>
      </c>
      <c r="AL11" s="28">
        <f t="shared" ref="AL11:AL22" si="17">I11-X11</f>
        <v>0</v>
      </c>
      <c r="AM11" s="28">
        <f t="shared" ref="AM11:AM22" si="18">J11-Y11</f>
        <v>0</v>
      </c>
      <c r="AN11" s="28">
        <f t="shared" ref="AN11:AN22" si="19">K11-Z11</f>
        <v>0</v>
      </c>
      <c r="AO11" s="28">
        <f t="shared" ref="AO11:AO22" si="20">L11-AA11</f>
        <v>0</v>
      </c>
      <c r="AP11" s="28">
        <f t="shared" ref="AP11:AP22" si="21">M11-AB11</f>
        <v>0</v>
      </c>
      <c r="AQ11" s="28">
        <f t="shared" ref="AQ11:AQ22" si="22">N11-AC11</f>
        <v>0</v>
      </c>
      <c r="AR11" s="124">
        <f t="shared" ref="AR11:AR16" si="23">O11-AD11</f>
        <v>0</v>
      </c>
    </row>
    <row r="12" spans="1:44" x14ac:dyDescent="0.2">
      <c r="A12" s="159"/>
      <c r="C12" s="4" t="s">
        <v>4</v>
      </c>
      <c r="D12" s="133" t="s">
        <v>17</v>
      </c>
      <c r="E12" s="160">
        <f t="shared" si="2"/>
        <v>0.45</v>
      </c>
      <c r="F12" s="160">
        <f t="shared" si="3"/>
        <v>0.6</v>
      </c>
      <c r="G12" s="160">
        <f t="shared" si="4"/>
        <v>0.7</v>
      </c>
      <c r="H12" s="160">
        <f t="shared" si="5"/>
        <v>0.7</v>
      </c>
      <c r="I12" s="160">
        <f t="shared" si="6"/>
        <v>0.85</v>
      </c>
      <c r="J12" s="160">
        <f t="shared" si="7"/>
        <v>0.85</v>
      </c>
      <c r="K12" s="160">
        <f t="shared" si="8"/>
        <v>0.9</v>
      </c>
      <c r="L12" s="160">
        <f t="shared" si="9"/>
        <v>0.9</v>
      </c>
      <c r="M12" s="160">
        <f t="shared" si="10"/>
        <v>0.9</v>
      </c>
      <c r="N12" s="160">
        <f t="shared" si="11"/>
        <v>0.9</v>
      </c>
      <c r="O12" s="162">
        <f t="shared" si="12"/>
        <v>0.9</v>
      </c>
      <c r="R12" s="4" t="s">
        <v>4</v>
      </c>
      <c r="S12" s="133" t="str">
        <f>Inndata!C36</f>
        <v>-</v>
      </c>
      <c r="T12" s="29">
        <f>Inndata!D36</f>
        <v>0.45</v>
      </c>
      <c r="U12" s="29">
        <f>Inndata!E36</f>
        <v>0.6</v>
      </c>
      <c r="V12" s="29">
        <f>Inndata!F36</f>
        <v>0.7</v>
      </c>
      <c r="W12" s="29">
        <f>Inndata!G36</f>
        <v>0.7</v>
      </c>
      <c r="X12" s="29">
        <f>Inndata!H36</f>
        <v>0.85</v>
      </c>
      <c r="Y12" s="29">
        <f>Inndata!I36</f>
        <v>0.85</v>
      </c>
      <c r="Z12" s="29">
        <f>Inndata!J36</f>
        <v>0.9</v>
      </c>
      <c r="AA12" s="29">
        <f>Inndata!K36</f>
        <v>0.9</v>
      </c>
      <c r="AB12" s="29">
        <f>Inndata!L36</f>
        <v>0.9</v>
      </c>
      <c r="AC12" s="29">
        <f>Inndata!M36</f>
        <v>0.9</v>
      </c>
      <c r="AD12" s="30">
        <f>Inndata!N36</f>
        <v>0.9</v>
      </c>
      <c r="AF12" s="4" t="s">
        <v>4</v>
      </c>
      <c r="AG12" s="27"/>
      <c r="AH12" s="28">
        <f t="shared" si="13"/>
        <v>0</v>
      </c>
      <c r="AI12" s="28">
        <f t="shared" si="14"/>
        <v>0</v>
      </c>
      <c r="AJ12" s="28">
        <f t="shared" si="15"/>
        <v>0</v>
      </c>
      <c r="AK12" s="28">
        <f t="shared" si="16"/>
        <v>0</v>
      </c>
      <c r="AL12" s="28">
        <f t="shared" si="17"/>
        <v>0</v>
      </c>
      <c r="AM12" s="28">
        <f t="shared" si="18"/>
        <v>0</v>
      </c>
      <c r="AN12" s="28">
        <f t="shared" si="19"/>
        <v>0</v>
      </c>
      <c r="AO12" s="28">
        <f t="shared" si="20"/>
        <v>0</v>
      </c>
      <c r="AP12" s="28">
        <f t="shared" si="21"/>
        <v>0</v>
      </c>
      <c r="AQ12" s="28">
        <f t="shared" si="22"/>
        <v>0</v>
      </c>
      <c r="AR12" s="124">
        <f t="shared" si="23"/>
        <v>0</v>
      </c>
    </row>
    <row r="13" spans="1:44" x14ac:dyDescent="0.2">
      <c r="A13" s="159"/>
      <c r="C13" s="4" t="s">
        <v>5</v>
      </c>
      <c r="D13" s="133" t="s">
        <v>17</v>
      </c>
      <c r="E13" s="160">
        <f t="shared" si="2"/>
        <v>0.45</v>
      </c>
      <c r="F13" s="160">
        <f t="shared" si="3"/>
        <v>0.6</v>
      </c>
      <c r="G13" s="160">
        <f t="shared" si="4"/>
        <v>0.7</v>
      </c>
      <c r="H13" s="160">
        <f t="shared" si="5"/>
        <v>0.7</v>
      </c>
      <c r="I13" s="160">
        <f t="shared" si="6"/>
        <v>0.85</v>
      </c>
      <c r="J13" s="160">
        <f t="shared" si="7"/>
        <v>0.85</v>
      </c>
      <c r="K13" s="160">
        <f t="shared" si="8"/>
        <v>0.9</v>
      </c>
      <c r="L13" s="160">
        <f t="shared" si="9"/>
        <v>0.9</v>
      </c>
      <c r="M13" s="160">
        <f t="shared" si="10"/>
        <v>0.9</v>
      </c>
      <c r="N13" s="160">
        <f t="shared" si="11"/>
        <v>0.9</v>
      </c>
      <c r="O13" s="162">
        <f t="shared" si="12"/>
        <v>0.9</v>
      </c>
      <c r="R13" s="4" t="s">
        <v>5</v>
      </c>
      <c r="S13" s="133" t="str">
        <f>Inndata!C37</f>
        <v>-</v>
      </c>
      <c r="T13" s="29">
        <f>Inndata!D37</f>
        <v>0.45</v>
      </c>
      <c r="U13" s="29">
        <f>Inndata!E37</f>
        <v>0.6</v>
      </c>
      <c r="V13" s="29">
        <f>Inndata!F37</f>
        <v>0.7</v>
      </c>
      <c r="W13" s="29">
        <f>Inndata!G37</f>
        <v>0.7</v>
      </c>
      <c r="X13" s="29">
        <f>Inndata!H37</f>
        <v>0.85</v>
      </c>
      <c r="Y13" s="29">
        <f>Inndata!I37</f>
        <v>0.85</v>
      </c>
      <c r="Z13" s="29">
        <f>Inndata!J37</f>
        <v>0.9</v>
      </c>
      <c r="AA13" s="29">
        <f>Inndata!K37</f>
        <v>0.9</v>
      </c>
      <c r="AB13" s="29">
        <f>Inndata!L37</f>
        <v>0.9</v>
      </c>
      <c r="AC13" s="29">
        <f>Inndata!M37</f>
        <v>0.9</v>
      </c>
      <c r="AD13" s="30">
        <f>Inndata!N37</f>
        <v>0.9</v>
      </c>
      <c r="AF13" s="4" t="s">
        <v>5</v>
      </c>
      <c r="AG13" s="27"/>
      <c r="AH13" s="28">
        <f t="shared" si="13"/>
        <v>0</v>
      </c>
      <c r="AI13" s="28">
        <f t="shared" si="14"/>
        <v>0</v>
      </c>
      <c r="AJ13" s="28">
        <f t="shared" si="15"/>
        <v>0</v>
      </c>
      <c r="AK13" s="28">
        <f t="shared" si="16"/>
        <v>0</v>
      </c>
      <c r="AL13" s="28">
        <f t="shared" si="17"/>
        <v>0</v>
      </c>
      <c r="AM13" s="28">
        <f t="shared" si="18"/>
        <v>0</v>
      </c>
      <c r="AN13" s="28">
        <f t="shared" si="19"/>
        <v>0</v>
      </c>
      <c r="AO13" s="28">
        <f t="shared" si="20"/>
        <v>0</v>
      </c>
      <c r="AP13" s="28">
        <f t="shared" si="21"/>
        <v>0</v>
      </c>
      <c r="AQ13" s="28">
        <f t="shared" si="22"/>
        <v>0</v>
      </c>
      <c r="AR13" s="124">
        <f t="shared" si="23"/>
        <v>0</v>
      </c>
    </row>
    <row r="14" spans="1:44" x14ac:dyDescent="0.2">
      <c r="A14" s="159"/>
      <c r="C14" s="4" t="s">
        <v>6</v>
      </c>
      <c r="D14" s="133" t="s">
        <v>17</v>
      </c>
      <c r="E14" s="160">
        <f t="shared" si="2"/>
        <v>0.45</v>
      </c>
      <c r="F14" s="160">
        <f t="shared" si="3"/>
        <v>0.6</v>
      </c>
      <c r="G14" s="160">
        <f t="shared" si="4"/>
        <v>0.7</v>
      </c>
      <c r="H14" s="160">
        <f t="shared" si="5"/>
        <v>0.7</v>
      </c>
      <c r="I14" s="160">
        <f t="shared" si="6"/>
        <v>0.85</v>
      </c>
      <c r="J14" s="160">
        <f t="shared" si="7"/>
        <v>0.85</v>
      </c>
      <c r="K14" s="160">
        <f t="shared" si="8"/>
        <v>0.9</v>
      </c>
      <c r="L14" s="160">
        <f t="shared" si="9"/>
        <v>0.9</v>
      </c>
      <c r="M14" s="160">
        <f t="shared" si="10"/>
        <v>0.9</v>
      </c>
      <c r="N14" s="160">
        <f t="shared" si="11"/>
        <v>0.9</v>
      </c>
      <c r="O14" s="162">
        <f t="shared" si="12"/>
        <v>0.9</v>
      </c>
      <c r="R14" s="4" t="s">
        <v>6</v>
      </c>
      <c r="S14" s="133" t="str">
        <f>Inndata!C38</f>
        <v>-</v>
      </c>
      <c r="T14" s="29">
        <f>Inndata!D38</f>
        <v>0.45</v>
      </c>
      <c r="U14" s="29">
        <f>Inndata!E38</f>
        <v>0.6</v>
      </c>
      <c r="V14" s="29">
        <f>Inndata!F38</f>
        <v>0.7</v>
      </c>
      <c r="W14" s="29">
        <f>Inndata!G38</f>
        <v>0.7</v>
      </c>
      <c r="X14" s="29">
        <f>Inndata!H38</f>
        <v>0.85</v>
      </c>
      <c r="Y14" s="29">
        <f>Inndata!I38</f>
        <v>0.85</v>
      </c>
      <c r="Z14" s="29">
        <f>Inndata!J38</f>
        <v>0.9</v>
      </c>
      <c r="AA14" s="29">
        <f>Inndata!K38</f>
        <v>0.9</v>
      </c>
      <c r="AB14" s="29">
        <f>Inndata!L38</f>
        <v>0.9</v>
      </c>
      <c r="AC14" s="29">
        <f>Inndata!M38</f>
        <v>0.9</v>
      </c>
      <c r="AD14" s="30">
        <f>Inndata!N38</f>
        <v>0.9</v>
      </c>
      <c r="AF14" s="4" t="s">
        <v>6</v>
      </c>
      <c r="AG14" s="27"/>
      <c r="AH14" s="28">
        <f t="shared" si="13"/>
        <v>0</v>
      </c>
      <c r="AI14" s="28">
        <f t="shared" si="14"/>
        <v>0</v>
      </c>
      <c r="AJ14" s="28">
        <f t="shared" si="15"/>
        <v>0</v>
      </c>
      <c r="AK14" s="28">
        <f t="shared" si="16"/>
        <v>0</v>
      </c>
      <c r="AL14" s="28">
        <f t="shared" si="17"/>
        <v>0</v>
      </c>
      <c r="AM14" s="28">
        <f t="shared" si="18"/>
        <v>0</v>
      </c>
      <c r="AN14" s="28">
        <f t="shared" si="19"/>
        <v>0</v>
      </c>
      <c r="AO14" s="28">
        <f t="shared" si="20"/>
        <v>0</v>
      </c>
      <c r="AP14" s="28">
        <f t="shared" si="21"/>
        <v>0</v>
      </c>
      <c r="AQ14" s="28">
        <f t="shared" si="22"/>
        <v>0</v>
      </c>
      <c r="AR14" s="124">
        <f t="shared" si="23"/>
        <v>0</v>
      </c>
    </row>
    <row r="15" spans="1:44" x14ac:dyDescent="0.2">
      <c r="A15" s="159"/>
      <c r="C15" s="4" t="s">
        <v>7</v>
      </c>
      <c r="D15" s="133" t="s">
        <v>17</v>
      </c>
      <c r="E15" s="160">
        <f t="shared" si="2"/>
        <v>0.45</v>
      </c>
      <c r="F15" s="160">
        <f t="shared" si="3"/>
        <v>0.6</v>
      </c>
      <c r="G15" s="160">
        <f t="shared" si="4"/>
        <v>0.7</v>
      </c>
      <c r="H15" s="160">
        <f t="shared" si="5"/>
        <v>0.7</v>
      </c>
      <c r="I15" s="160">
        <f t="shared" si="6"/>
        <v>0.85</v>
      </c>
      <c r="J15" s="160">
        <f t="shared" si="7"/>
        <v>0.85</v>
      </c>
      <c r="K15" s="160">
        <f t="shared" si="8"/>
        <v>0.9</v>
      </c>
      <c r="L15" s="160">
        <f t="shared" si="9"/>
        <v>0.9</v>
      </c>
      <c r="M15" s="160">
        <f t="shared" si="10"/>
        <v>0.9</v>
      </c>
      <c r="N15" s="160">
        <f t="shared" si="11"/>
        <v>0.9</v>
      </c>
      <c r="O15" s="162">
        <f t="shared" si="12"/>
        <v>0.9</v>
      </c>
      <c r="R15" s="4" t="s">
        <v>7</v>
      </c>
      <c r="S15" s="133" t="str">
        <f>Inndata!C39</f>
        <v>-</v>
      </c>
      <c r="T15" s="29">
        <f>Inndata!D39</f>
        <v>0.45</v>
      </c>
      <c r="U15" s="29">
        <f>Inndata!E39</f>
        <v>0.6</v>
      </c>
      <c r="V15" s="29">
        <f>Inndata!F39</f>
        <v>0.7</v>
      </c>
      <c r="W15" s="29">
        <f>Inndata!G39</f>
        <v>0.7</v>
      </c>
      <c r="X15" s="29">
        <f>Inndata!H39</f>
        <v>0.85</v>
      </c>
      <c r="Y15" s="29">
        <f>Inndata!I39</f>
        <v>0.85</v>
      </c>
      <c r="Z15" s="29">
        <f>Inndata!J39</f>
        <v>0.9</v>
      </c>
      <c r="AA15" s="29">
        <f>Inndata!K39</f>
        <v>0.9</v>
      </c>
      <c r="AB15" s="29">
        <f>Inndata!L39</f>
        <v>0.9</v>
      </c>
      <c r="AC15" s="29">
        <f>Inndata!M39</f>
        <v>0.9</v>
      </c>
      <c r="AD15" s="30">
        <f>Inndata!N39</f>
        <v>0.9</v>
      </c>
      <c r="AF15" s="4" t="s">
        <v>7</v>
      </c>
      <c r="AG15" s="27"/>
      <c r="AH15" s="28">
        <f t="shared" si="13"/>
        <v>0</v>
      </c>
      <c r="AI15" s="28">
        <f t="shared" si="14"/>
        <v>0</v>
      </c>
      <c r="AJ15" s="28">
        <f t="shared" si="15"/>
        <v>0</v>
      </c>
      <c r="AK15" s="28">
        <f t="shared" si="16"/>
        <v>0</v>
      </c>
      <c r="AL15" s="28">
        <f t="shared" si="17"/>
        <v>0</v>
      </c>
      <c r="AM15" s="28">
        <f t="shared" si="18"/>
        <v>0</v>
      </c>
      <c r="AN15" s="28">
        <f t="shared" si="19"/>
        <v>0</v>
      </c>
      <c r="AO15" s="28">
        <f t="shared" si="20"/>
        <v>0</v>
      </c>
      <c r="AP15" s="28">
        <f t="shared" si="21"/>
        <v>0</v>
      </c>
      <c r="AQ15" s="28">
        <f t="shared" si="22"/>
        <v>0</v>
      </c>
      <c r="AR15" s="124">
        <f t="shared" si="23"/>
        <v>0</v>
      </c>
    </row>
    <row r="16" spans="1:44" x14ac:dyDescent="0.2">
      <c r="A16" s="159"/>
      <c r="C16" s="4" t="s">
        <v>8</v>
      </c>
      <c r="D16" s="146" t="s">
        <v>17</v>
      </c>
      <c r="E16" s="160">
        <f t="shared" si="2"/>
        <v>0.5</v>
      </c>
      <c r="F16" s="160">
        <f t="shared" si="3"/>
        <v>0.6</v>
      </c>
      <c r="G16" s="160">
        <f t="shared" si="4"/>
        <v>0.7</v>
      </c>
      <c r="H16" s="160">
        <f t="shared" si="5"/>
        <v>0.7</v>
      </c>
      <c r="I16" s="160">
        <f t="shared" si="6"/>
        <v>0.85</v>
      </c>
      <c r="J16" s="160">
        <f t="shared" si="7"/>
        <v>0.85</v>
      </c>
      <c r="K16" s="160">
        <f t="shared" si="8"/>
        <v>0.9</v>
      </c>
      <c r="L16" s="160">
        <f t="shared" si="9"/>
        <v>0.9</v>
      </c>
      <c r="M16" s="160">
        <f t="shared" si="10"/>
        <v>0.9</v>
      </c>
      <c r="N16" s="160">
        <f t="shared" si="11"/>
        <v>0.9</v>
      </c>
      <c r="O16" s="162">
        <f t="shared" si="12"/>
        <v>0.9</v>
      </c>
      <c r="R16" s="4" t="s">
        <v>8</v>
      </c>
      <c r="S16" s="133" t="str">
        <f>Inndata!C40</f>
        <v>-</v>
      </c>
      <c r="T16" s="29">
        <f>Inndata!D40</f>
        <v>0.5</v>
      </c>
      <c r="U16" s="29">
        <f>Inndata!E40</f>
        <v>0.6</v>
      </c>
      <c r="V16" s="29">
        <f>Inndata!F40</f>
        <v>0.7</v>
      </c>
      <c r="W16" s="29">
        <f>Inndata!G40</f>
        <v>0.7</v>
      </c>
      <c r="X16" s="29">
        <f>Inndata!H40</f>
        <v>0.85</v>
      </c>
      <c r="Y16" s="29">
        <f>Inndata!I40</f>
        <v>0.85</v>
      </c>
      <c r="Z16" s="29">
        <f>Inndata!J40</f>
        <v>0.9</v>
      </c>
      <c r="AA16" s="29">
        <f>Inndata!K40</f>
        <v>0.9</v>
      </c>
      <c r="AB16" s="29">
        <f>Inndata!L40</f>
        <v>0.9</v>
      </c>
      <c r="AC16" s="29">
        <f>Inndata!M40</f>
        <v>0.9</v>
      </c>
      <c r="AD16" s="30">
        <f>Inndata!N40</f>
        <v>0.9</v>
      </c>
      <c r="AF16" s="4" t="s">
        <v>8</v>
      </c>
      <c r="AG16" s="27"/>
      <c r="AH16" s="28">
        <f t="shared" si="13"/>
        <v>0</v>
      </c>
      <c r="AI16" s="28">
        <f t="shared" si="14"/>
        <v>0</v>
      </c>
      <c r="AJ16" s="28">
        <f t="shared" si="15"/>
        <v>0</v>
      </c>
      <c r="AK16" s="28">
        <f t="shared" si="16"/>
        <v>0</v>
      </c>
      <c r="AL16" s="28">
        <f t="shared" si="17"/>
        <v>0</v>
      </c>
      <c r="AM16" s="28">
        <f t="shared" si="18"/>
        <v>0</v>
      </c>
      <c r="AN16" s="28">
        <f t="shared" si="19"/>
        <v>0</v>
      </c>
      <c r="AO16" s="28">
        <f t="shared" si="20"/>
        <v>0</v>
      </c>
      <c r="AP16" s="28">
        <f t="shared" si="21"/>
        <v>0</v>
      </c>
      <c r="AQ16" s="28">
        <f t="shared" si="22"/>
        <v>0</v>
      </c>
      <c r="AR16" s="124">
        <f t="shared" si="23"/>
        <v>0</v>
      </c>
    </row>
    <row r="17" spans="1:44" x14ac:dyDescent="0.2">
      <c r="A17" s="159"/>
      <c r="C17" s="4" t="s">
        <v>9</v>
      </c>
      <c r="D17" s="160">
        <v>0.3</v>
      </c>
      <c r="E17" s="160">
        <f t="shared" ref="E17:E22" si="24">T17</f>
        <v>0.5</v>
      </c>
      <c r="F17" s="160">
        <f t="shared" ref="F17:F22" si="25">U17</f>
        <v>0.6</v>
      </c>
      <c r="G17" s="160">
        <f t="shared" ref="G17:G22" si="26">V17</f>
        <v>0.7</v>
      </c>
      <c r="H17" s="160">
        <f t="shared" ref="H17:H22" si="27">W17</f>
        <v>0.7</v>
      </c>
      <c r="I17" s="160">
        <f t="shared" ref="I17:I22" si="28">X17</f>
        <v>0.85</v>
      </c>
      <c r="J17" s="160">
        <f t="shared" ref="J17:J22" si="29">Y17</f>
        <v>0.85</v>
      </c>
      <c r="K17" s="160">
        <f t="shared" ref="K17:K22" si="30">Z17</f>
        <v>0.9</v>
      </c>
      <c r="L17" s="160">
        <f t="shared" ref="L17:L22" si="31">AA17</f>
        <v>0.9</v>
      </c>
      <c r="M17" s="160">
        <f t="shared" ref="M17:M22" si="32">AB17</f>
        <v>0.9</v>
      </c>
      <c r="N17" s="160">
        <f t="shared" ref="N17:N22" si="33">AC17</f>
        <v>0.9</v>
      </c>
      <c r="O17" s="31" t="s">
        <v>17</v>
      </c>
      <c r="R17" s="4" t="s">
        <v>9</v>
      </c>
      <c r="S17" s="29">
        <f>Inndata!C41</f>
        <v>0.3</v>
      </c>
      <c r="T17" s="29">
        <f>Inndata!D41</f>
        <v>0.5</v>
      </c>
      <c r="U17" s="29">
        <f>Inndata!E41</f>
        <v>0.6</v>
      </c>
      <c r="V17" s="29">
        <f>Inndata!F41</f>
        <v>0.7</v>
      </c>
      <c r="W17" s="29">
        <f>Inndata!G41</f>
        <v>0.7</v>
      </c>
      <c r="X17" s="29">
        <f>Inndata!H41</f>
        <v>0.85</v>
      </c>
      <c r="Y17" s="29">
        <f>Inndata!I41</f>
        <v>0.85</v>
      </c>
      <c r="Z17" s="29">
        <f>Inndata!J41</f>
        <v>0.9</v>
      </c>
      <c r="AA17" s="29">
        <f>Inndata!K41</f>
        <v>0.9</v>
      </c>
      <c r="AB17" s="29">
        <f>Inndata!L41</f>
        <v>0.9</v>
      </c>
      <c r="AC17" s="29">
        <f>Inndata!M41</f>
        <v>0.9</v>
      </c>
      <c r="AD17" s="186" t="str">
        <f>Inndata!N41</f>
        <v>-</v>
      </c>
      <c r="AF17" s="4" t="s">
        <v>9</v>
      </c>
      <c r="AG17" s="28">
        <f t="shared" ref="AG17:AG22" si="34">D17-S17</f>
        <v>0</v>
      </c>
      <c r="AH17" s="28">
        <f t="shared" si="13"/>
        <v>0</v>
      </c>
      <c r="AI17" s="28">
        <f t="shared" si="14"/>
        <v>0</v>
      </c>
      <c r="AJ17" s="28">
        <f t="shared" si="15"/>
        <v>0</v>
      </c>
      <c r="AK17" s="28">
        <f t="shared" si="16"/>
        <v>0</v>
      </c>
      <c r="AL17" s="28">
        <f t="shared" si="17"/>
        <v>0</v>
      </c>
      <c r="AM17" s="28">
        <f t="shared" si="18"/>
        <v>0</v>
      </c>
      <c r="AN17" s="28">
        <f t="shared" si="19"/>
        <v>0</v>
      </c>
      <c r="AO17" s="28">
        <f t="shared" si="20"/>
        <v>0</v>
      </c>
      <c r="AP17" s="28">
        <f t="shared" si="21"/>
        <v>0</v>
      </c>
      <c r="AQ17" s="28">
        <f t="shared" si="22"/>
        <v>0</v>
      </c>
      <c r="AR17" s="31"/>
    </row>
    <row r="18" spans="1:44" x14ac:dyDescent="0.2">
      <c r="A18" s="159"/>
      <c r="C18" s="4" t="s">
        <v>10</v>
      </c>
      <c r="D18" s="160">
        <f t="shared" ref="D18:D22" si="35">S18</f>
        <v>0.35</v>
      </c>
      <c r="E18" s="160">
        <f t="shared" si="24"/>
        <v>0.55000000000000004</v>
      </c>
      <c r="F18" s="160">
        <f t="shared" si="25"/>
        <v>0.65</v>
      </c>
      <c r="G18" s="160">
        <f t="shared" si="26"/>
        <v>0.7</v>
      </c>
      <c r="H18" s="160">
        <f t="shared" si="27"/>
        <v>0.75</v>
      </c>
      <c r="I18" s="160">
        <f t="shared" si="28"/>
        <v>0.85</v>
      </c>
      <c r="J18" s="160">
        <f t="shared" si="29"/>
        <v>0.9</v>
      </c>
      <c r="K18" s="160">
        <f t="shared" si="30"/>
        <v>0.9</v>
      </c>
      <c r="L18" s="160">
        <f t="shared" si="31"/>
        <v>0.9</v>
      </c>
      <c r="M18" s="160">
        <f t="shared" si="32"/>
        <v>0.9</v>
      </c>
      <c r="N18" s="160">
        <f t="shared" si="33"/>
        <v>0.9</v>
      </c>
      <c r="O18" s="31" t="s">
        <v>17</v>
      </c>
      <c r="R18" s="4" t="s">
        <v>10</v>
      </c>
      <c r="S18" s="29">
        <f>Inndata!C42</f>
        <v>0.35</v>
      </c>
      <c r="T18" s="29">
        <f>Inndata!D42</f>
        <v>0.55000000000000004</v>
      </c>
      <c r="U18" s="29">
        <f>Inndata!E42</f>
        <v>0.65</v>
      </c>
      <c r="V18" s="29">
        <f>Inndata!F42</f>
        <v>0.7</v>
      </c>
      <c r="W18" s="29">
        <f>Inndata!G42</f>
        <v>0.75</v>
      </c>
      <c r="X18" s="29">
        <f>Inndata!H42</f>
        <v>0.85</v>
      </c>
      <c r="Y18" s="29">
        <f>Inndata!I42</f>
        <v>0.9</v>
      </c>
      <c r="Z18" s="29">
        <f>Inndata!J42</f>
        <v>0.9</v>
      </c>
      <c r="AA18" s="29">
        <f>Inndata!K42</f>
        <v>0.9</v>
      </c>
      <c r="AB18" s="29">
        <f>Inndata!L42</f>
        <v>0.9</v>
      </c>
      <c r="AC18" s="29">
        <f>Inndata!M42</f>
        <v>0.9</v>
      </c>
      <c r="AD18" s="31" t="str">
        <f>Inndata!N42</f>
        <v>-</v>
      </c>
      <c r="AF18" s="4" t="s">
        <v>10</v>
      </c>
      <c r="AG18" s="28">
        <f t="shared" si="34"/>
        <v>0</v>
      </c>
      <c r="AH18" s="28">
        <f t="shared" si="13"/>
        <v>0</v>
      </c>
      <c r="AI18" s="28">
        <f t="shared" si="14"/>
        <v>0</v>
      </c>
      <c r="AJ18" s="28">
        <f t="shared" si="15"/>
        <v>0</v>
      </c>
      <c r="AK18" s="28">
        <f t="shared" si="16"/>
        <v>0</v>
      </c>
      <c r="AL18" s="28">
        <f t="shared" si="17"/>
        <v>0</v>
      </c>
      <c r="AM18" s="28">
        <f t="shared" si="18"/>
        <v>0</v>
      </c>
      <c r="AN18" s="28">
        <f t="shared" si="19"/>
        <v>0</v>
      </c>
      <c r="AO18" s="28">
        <f t="shared" si="20"/>
        <v>0</v>
      </c>
      <c r="AP18" s="28">
        <f t="shared" si="21"/>
        <v>0</v>
      </c>
      <c r="AQ18" s="28">
        <f t="shared" si="22"/>
        <v>0</v>
      </c>
      <c r="AR18" s="31"/>
    </row>
    <row r="19" spans="1:44" x14ac:dyDescent="0.2">
      <c r="A19" s="159"/>
      <c r="C19" s="4" t="s">
        <v>11</v>
      </c>
      <c r="D19" s="160">
        <f t="shared" si="35"/>
        <v>0.4</v>
      </c>
      <c r="E19" s="160">
        <f t="shared" si="24"/>
        <v>0.55000000000000004</v>
      </c>
      <c r="F19" s="160">
        <f t="shared" si="25"/>
        <v>0.65</v>
      </c>
      <c r="G19" s="160">
        <f t="shared" si="26"/>
        <v>0.7</v>
      </c>
      <c r="H19" s="160">
        <f t="shared" si="27"/>
        <v>0.8</v>
      </c>
      <c r="I19" s="160">
        <f t="shared" si="28"/>
        <v>0.85</v>
      </c>
      <c r="J19" s="160">
        <f t="shared" si="29"/>
        <v>0.9</v>
      </c>
      <c r="K19" s="160">
        <f t="shared" si="30"/>
        <v>0.9</v>
      </c>
      <c r="L19" s="160">
        <f t="shared" si="31"/>
        <v>0.9</v>
      </c>
      <c r="M19" s="160">
        <f t="shared" si="32"/>
        <v>0.9</v>
      </c>
      <c r="N19" s="160">
        <f t="shared" si="33"/>
        <v>0.9</v>
      </c>
      <c r="O19" s="31" t="s">
        <v>17</v>
      </c>
      <c r="R19" s="4" t="s">
        <v>11</v>
      </c>
      <c r="S19" s="29">
        <f>Inndata!C43</f>
        <v>0.4</v>
      </c>
      <c r="T19" s="29">
        <f>Inndata!D43</f>
        <v>0.55000000000000004</v>
      </c>
      <c r="U19" s="29">
        <f>Inndata!E43</f>
        <v>0.65</v>
      </c>
      <c r="V19" s="29">
        <f>Inndata!F43</f>
        <v>0.7</v>
      </c>
      <c r="W19" s="29">
        <f>Inndata!G43</f>
        <v>0.8</v>
      </c>
      <c r="X19" s="29">
        <f>Inndata!H43</f>
        <v>0.85</v>
      </c>
      <c r="Y19" s="29">
        <f>Inndata!I43</f>
        <v>0.9</v>
      </c>
      <c r="Z19" s="29">
        <f>Inndata!J43</f>
        <v>0.9</v>
      </c>
      <c r="AA19" s="29">
        <f>Inndata!K43</f>
        <v>0.9</v>
      </c>
      <c r="AB19" s="29">
        <f>Inndata!L43</f>
        <v>0.9</v>
      </c>
      <c r="AC19" s="29">
        <f>Inndata!M43</f>
        <v>0.9</v>
      </c>
      <c r="AD19" s="31" t="str">
        <f>Inndata!N43</f>
        <v>-</v>
      </c>
      <c r="AF19" s="4" t="s">
        <v>11</v>
      </c>
      <c r="AG19" s="28">
        <f t="shared" si="34"/>
        <v>0</v>
      </c>
      <c r="AH19" s="28">
        <f t="shared" si="13"/>
        <v>0</v>
      </c>
      <c r="AI19" s="28">
        <f t="shared" si="14"/>
        <v>0</v>
      </c>
      <c r="AJ19" s="28">
        <f t="shared" si="15"/>
        <v>0</v>
      </c>
      <c r="AK19" s="28">
        <f t="shared" si="16"/>
        <v>0</v>
      </c>
      <c r="AL19" s="28">
        <f t="shared" si="17"/>
        <v>0</v>
      </c>
      <c r="AM19" s="28">
        <f t="shared" si="18"/>
        <v>0</v>
      </c>
      <c r="AN19" s="28">
        <f t="shared" si="19"/>
        <v>0</v>
      </c>
      <c r="AO19" s="28">
        <f t="shared" si="20"/>
        <v>0</v>
      </c>
      <c r="AP19" s="28">
        <f t="shared" si="21"/>
        <v>0</v>
      </c>
      <c r="AQ19" s="28">
        <f t="shared" si="22"/>
        <v>0</v>
      </c>
      <c r="AR19" s="32"/>
    </row>
    <row r="20" spans="1:44" x14ac:dyDescent="0.2">
      <c r="A20" s="159"/>
      <c r="C20" s="4" t="s">
        <v>12</v>
      </c>
      <c r="D20" s="160">
        <f t="shared" si="35"/>
        <v>0.4</v>
      </c>
      <c r="E20" s="160">
        <f t="shared" si="24"/>
        <v>0.6</v>
      </c>
      <c r="F20" s="160">
        <f t="shared" si="25"/>
        <v>0.7</v>
      </c>
      <c r="G20" s="160">
        <f t="shared" si="26"/>
        <v>0.7</v>
      </c>
      <c r="H20" s="160">
        <f t="shared" si="27"/>
        <v>0.8</v>
      </c>
      <c r="I20" s="160">
        <f t="shared" si="28"/>
        <v>0.85</v>
      </c>
      <c r="J20" s="160">
        <f t="shared" si="29"/>
        <v>0.9</v>
      </c>
      <c r="K20" s="160">
        <f t="shared" si="30"/>
        <v>0.9</v>
      </c>
      <c r="L20" s="160">
        <f t="shared" si="31"/>
        <v>0.9</v>
      </c>
      <c r="M20" s="160">
        <f t="shared" si="32"/>
        <v>0.9</v>
      </c>
      <c r="N20" s="160">
        <f t="shared" si="33"/>
        <v>0.9</v>
      </c>
      <c r="O20" s="31" t="s">
        <v>17</v>
      </c>
      <c r="R20" s="4" t="s">
        <v>12</v>
      </c>
      <c r="S20" s="29">
        <f>Inndata!C44</f>
        <v>0.4</v>
      </c>
      <c r="T20" s="29">
        <f>Inndata!D44</f>
        <v>0.6</v>
      </c>
      <c r="U20" s="29">
        <f>Inndata!E44</f>
        <v>0.7</v>
      </c>
      <c r="V20" s="29">
        <f>Inndata!F44</f>
        <v>0.7</v>
      </c>
      <c r="W20" s="29">
        <f>Inndata!G44</f>
        <v>0.8</v>
      </c>
      <c r="X20" s="29">
        <f>Inndata!H44</f>
        <v>0.85</v>
      </c>
      <c r="Y20" s="29">
        <f>Inndata!I44</f>
        <v>0.9</v>
      </c>
      <c r="Z20" s="29">
        <f>Inndata!J44</f>
        <v>0.9</v>
      </c>
      <c r="AA20" s="29">
        <f>Inndata!K44</f>
        <v>0.9</v>
      </c>
      <c r="AB20" s="29">
        <f>Inndata!L44</f>
        <v>0.9</v>
      </c>
      <c r="AC20" s="29">
        <f>Inndata!M44</f>
        <v>0.9</v>
      </c>
      <c r="AD20" s="31" t="str">
        <f>Inndata!N44</f>
        <v>-</v>
      </c>
      <c r="AF20" s="4" t="s">
        <v>12</v>
      </c>
      <c r="AG20" s="28">
        <f t="shared" si="34"/>
        <v>0</v>
      </c>
      <c r="AH20" s="28">
        <f t="shared" si="13"/>
        <v>0</v>
      </c>
      <c r="AI20" s="28">
        <f t="shared" si="14"/>
        <v>0</v>
      </c>
      <c r="AJ20" s="28">
        <f t="shared" si="15"/>
        <v>0</v>
      </c>
      <c r="AK20" s="28">
        <f t="shared" si="16"/>
        <v>0</v>
      </c>
      <c r="AL20" s="28">
        <f t="shared" si="17"/>
        <v>0</v>
      </c>
      <c r="AM20" s="28">
        <f t="shared" si="18"/>
        <v>0</v>
      </c>
      <c r="AN20" s="28">
        <f t="shared" si="19"/>
        <v>0</v>
      </c>
      <c r="AO20" s="28">
        <f t="shared" si="20"/>
        <v>0</v>
      </c>
      <c r="AP20" s="28">
        <f t="shared" si="21"/>
        <v>0</v>
      </c>
      <c r="AQ20" s="28">
        <f t="shared" si="22"/>
        <v>0</v>
      </c>
      <c r="AR20" s="32"/>
    </row>
    <row r="21" spans="1:44" x14ac:dyDescent="0.2">
      <c r="A21" s="159"/>
      <c r="C21" s="4" t="s">
        <v>13</v>
      </c>
      <c r="D21" s="160">
        <f t="shared" si="35"/>
        <v>0.4</v>
      </c>
      <c r="E21" s="160">
        <f t="shared" si="24"/>
        <v>0.6</v>
      </c>
      <c r="F21" s="160">
        <f t="shared" si="25"/>
        <v>0.7</v>
      </c>
      <c r="G21" s="160">
        <f t="shared" si="26"/>
        <v>0.7</v>
      </c>
      <c r="H21" s="160">
        <f t="shared" si="27"/>
        <v>0.85</v>
      </c>
      <c r="I21" s="160">
        <f t="shared" si="28"/>
        <v>0.85</v>
      </c>
      <c r="J21" s="160">
        <f t="shared" si="29"/>
        <v>0.9</v>
      </c>
      <c r="K21" s="160">
        <f t="shared" si="30"/>
        <v>0.9</v>
      </c>
      <c r="L21" s="160">
        <f t="shared" si="31"/>
        <v>0.9</v>
      </c>
      <c r="M21" s="160">
        <f t="shared" si="32"/>
        <v>0.9</v>
      </c>
      <c r="N21" s="160">
        <f t="shared" si="33"/>
        <v>0.9</v>
      </c>
      <c r="O21" s="31" t="s">
        <v>17</v>
      </c>
      <c r="R21" s="4" t="s">
        <v>13</v>
      </c>
      <c r="S21" s="29">
        <f>Inndata!C45</f>
        <v>0.4</v>
      </c>
      <c r="T21" s="29">
        <f>Inndata!D45</f>
        <v>0.6</v>
      </c>
      <c r="U21" s="29">
        <f>Inndata!E45</f>
        <v>0.7</v>
      </c>
      <c r="V21" s="29">
        <f>Inndata!F45</f>
        <v>0.7</v>
      </c>
      <c r="W21" s="29">
        <f>Inndata!G45</f>
        <v>0.85</v>
      </c>
      <c r="X21" s="29">
        <f>Inndata!H45</f>
        <v>0.85</v>
      </c>
      <c r="Y21" s="29">
        <f>Inndata!I45</f>
        <v>0.9</v>
      </c>
      <c r="Z21" s="29">
        <f>Inndata!J45</f>
        <v>0.9</v>
      </c>
      <c r="AA21" s="29">
        <f>Inndata!K45</f>
        <v>0.9</v>
      </c>
      <c r="AB21" s="29">
        <f>Inndata!L45</f>
        <v>0.9</v>
      </c>
      <c r="AC21" s="29">
        <f>Inndata!M45</f>
        <v>0.9</v>
      </c>
      <c r="AD21" s="31" t="str">
        <f>Inndata!N45</f>
        <v>-</v>
      </c>
      <c r="AF21" s="4" t="s">
        <v>13</v>
      </c>
      <c r="AG21" s="28">
        <f t="shared" si="34"/>
        <v>0</v>
      </c>
      <c r="AH21" s="28">
        <f t="shared" si="13"/>
        <v>0</v>
      </c>
      <c r="AI21" s="28">
        <f t="shared" si="14"/>
        <v>0</v>
      </c>
      <c r="AJ21" s="28">
        <f t="shared" si="15"/>
        <v>0</v>
      </c>
      <c r="AK21" s="28">
        <f t="shared" si="16"/>
        <v>0</v>
      </c>
      <c r="AL21" s="28">
        <f t="shared" si="17"/>
        <v>0</v>
      </c>
      <c r="AM21" s="28">
        <f t="shared" si="18"/>
        <v>0</v>
      </c>
      <c r="AN21" s="28">
        <f t="shared" si="19"/>
        <v>0</v>
      </c>
      <c r="AO21" s="28">
        <f t="shared" si="20"/>
        <v>0</v>
      </c>
      <c r="AP21" s="28">
        <f t="shared" si="21"/>
        <v>0</v>
      </c>
      <c r="AQ21" s="28">
        <f t="shared" si="22"/>
        <v>0</v>
      </c>
      <c r="AR21" s="32"/>
    </row>
    <row r="22" spans="1:44" ht="13.5" thickBot="1" x14ac:dyDescent="0.25">
      <c r="A22" s="159"/>
      <c r="C22" s="7" t="s">
        <v>14</v>
      </c>
      <c r="D22" s="161">
        <f t="shared" si="35"/>
        <v>0.4</v>
      </c>
      <c r="E22" s="161">
        <f t="shared" si="24"/>
        <v>0.6</v>
      </c>
      <c r="F22" s="161">
        <f t="shared" si="25"/>
        <v>0.7</v>
      </c>
      <c r="G22" s="161">
        <f t="shared" si="26"/>
        <v>0.7</v>
      </c>
      <c r="H22" s="161">
        <f t="shared" si="27"/>
        <v>0.85</v>
      </c>
      <c r="I22" s="161">
        <f t="shared" si="28"/>
        <v>0.85</v>
      </c>
      <c r="J22" s="161">
        <f t="shared" si="29"/>
        <v>0.9</v>
      </c>
      <c r="K22" s="161">
        <f t="shared" si="30"/>
        <v>0.9</v>
      </c>
      <c r="L22" s="161">
        <f t="shared" si="31"/>
        <v>0.9</v>
      </c>
      <c r="M22" s="161">
        <f t="shared" si="32"/>
        <v>0.9</v>
      </c>
      <c r="N22" s="161">
        <f t="shared" si="33"/>
        <v>0.9</v>
      </c>
      <c r="O22" s="134" t="s">
        <v>17</v>
      </c>
      <c r="R22" s="7" t="s">
        <v>14</v>
      </c>
      <c r="S22" s="145">
        <f>Inndata!C46</f>
        <v>0.4</v>
      </c>
      <c r="T22" s="145">
        <f>Inndata!D46</f>
        <v>0.6</v>
      </c>
      <c r="U22" s="145">
        <f>Inndata!E46</f>
        <v>0.7</v>
      </c>
      <c r="V22" s="145">
        <f>Inndata!F46</f>
        <v>0.7</v>
      </c>
      <c r="W22" s="145">
        <f>Inndata!G46</f>
        <v>0.85</v>
      </c>
      <c r="X22" s="145">
        <f>Inndata!H46</f>
        <v>0.85</v>
      </c>
      <c r="Y22" s="145">
        <f>Inndata!I46</f>
        <v>0.9</v>
      </c>
      <c r="Z22" s="145">
        <f>Inndata!J46</f>
        <v>0.9</v>
      </c>
      <c r="AA22" s="145">
        <f>Inndata!K46</f>
        <v>0.9</v>
      </c>
      <c r="AB22" s="145">
        <f>Inndata!L46</f>
        <v>0.9</v>
      </c>
      <c r="AC22" s="145">
        <f>Inndata!M46</f>
        <v>0.9</v>
      </c>
      <c r="AD22" s="134" t="str">
        <f>Inndata!N46</f>
        <v>-</v>
      </c>
      <c r="AF22" s="7" t="s">
        <v>14</v>
      </c>
      <c r="AG22" s="33">
        <f t="shared" si="34"/>
        <v>0</v>
      </c>
      <c r="AH22" s="33">
        <f t="shared" si="13"/>
        <v>0</v>
      </c>
      <c r="AI22" s="33">
        <f t="shared" si="14"/>
        <v>0</v>
      </c>
      <c r="AJ22" s="33">
        <f t="shared" si="15"/>
        <v>0</v>
      </c>
      <c r="AK22" s="33">
        <f t="shared" si="16"/>
        <v>0</v>
      </c>
      <c r="AL22" s="33">
        <f t="shared" si="17"/>
        <v>0</v>
      </c>
      <c r="AM22" s="33">
        <f t="shared" si="18"/>
        <v>0</v>
      </c>
      <c r="AN22" s="33">
        <f t="shared" si="19"/>
        <v>0</v>
      </c>
      <c r="AO22" s="33">
        <f t="shared" si="20"/>
        <v>0</v>
      </c>
      <c r="AP22" s="33">
        <f t="shared" si="21"/>
        <v>0</v>
      </c>
      <c r="AQ22" s="33">
        <f t="shared" si="22"/>
        <v>0</v>
      </c>
      <c r="AR22" s="34"/>
    </row>
    <row r="23" spans="1:44" x14ac:dyDescent="0.2">
      <c r="AF23" s="206" t="s">
        <v>96</v>
      </c>
      <c r="AG23" s="206"/>
      <c r="AH23" s="206"/>
      <c r="AI23" s="206"/>
      <c r="AJ23" s="206"/>
      <c r="AK23" s="206"/>
      <c r="AL23" s="206"/>
      <c r="AM23" s="206"/>
      <c r="AN23" s="206"/>
      <c r="AO23" s="206"/>
      <c r="AP23" s="206"/>
      <c r="AQ23" s="206"/>
      <c r="AR23" s="206"/>
    </row>
    <row r="24" spans="1:44" ht="13.5" thickBot="1" x14ac:dyDescent="0.25">
      <c r="R24" s="201"/>
      <c r="S24" s="201"/>
      <c r="T24" s="201"/>
      <c r="U24" s="201"/>
      <c r="V24" s="201"/>
      <c r="W24" s="201"/>
      <c r="X24" s="201"/>
      <c r="Y24" s="201"/>
      <c r="Z24" s="201"/>
      <c r="AA24" s="201"/>
      <c r="AB24" s="201"/>
      <c r="AC24" s="201"/>
      <c r="AD24" s="201"/>
    </row>
    <row r="25" spans="1:44" ht="13.5" thickBot="1" x14ac:dyDescent="0.25">
      <c r="C25" s="190" t="s">
        <v>98</v>
      </c>
      <c r="D25" s="191"/>
      <c r="E25" s="191"/>
      <c r="F25" s="191"/>
      <c r="G25" s="191"/>
      <c r="H25" s="191"/>
      <c r="I25" s="191"/>
      <c r="J25" s="191"/>
      <c r="K25" s="191"/>
      <c r="L25" s="191"/>
      <c r="M25" s="191"/>
      <c r="N25" s="191"/>
      <c r="O25" s="192"/>
    </row>
    <row r="26" spans="1:44" ht="13.5" thickBot="1" x14ac:dyDescent="0.25">
      <c r="C26" s="4"/>
      <c r="D26" s="5"/>
      <c r="E26" s="5"/>
      <c r="F26" s="110"/>
      <c r="G26" s="110"/>
      <c r="H26" s="110"/>
      <c r="I26" s="110"/>
      <c r="J26" s="110"/>
      <c r="K26" s="110"/>
      <c r="L26" s="110"/>
      <c r="M26" s="110"/>
      <c r="N26" s="110"/>
      <c r="O26" s="111"/>
    </row>
    <row r="27" spans="1:44" x14ac:dyDescent="0.2">
      <c r="A27" s="163"/>
      <c r="C27" s="35" t="s">
        <v>2</v>
      </c>
      <c r="D27" s="129">
        <v>2019</v>
      </c>
      <c r="E27" s="130">
        <v>2020</v>
      </c>
      <c r="F27" s="131">
        <v>2021</v>
      </c>
      <c r="G27" s="36">
        <v>2022</v>
      </c>
      <c r="H27" s="36">
        <v>2023</v>
      </c>
      <c r="I27" s="36">
        <v>2024</v>
      </c>
      <c r="J27" s="36">
        <v>2025</v>
      </c>
      <c r="K27" s="36">
        <v>2026</v>
      </c>
      <c r="L27" s="36">
        <v>2027</v>
      </c>
      <c r="M27" s="36">
        <v>2028</v>
      </c>
      <c r="N27" s="36">
        <v>2029</v>
      </c>
      <c r="O27" s="37">
        <v>2030</v>
      </c>
    </row>
    <row r="28" spans="1:44" x14ac:dyDescent="0.2">
      <c r="A28" s="163"/>
      <c r="C28" s="4" t="s">
        <v>3</v>
      </c>
      <c r="D28" s="169" t="s">
        <v>17</v>
      </c>
      <c r="E28" s="135">
        <f t="shared" ref="E28:E33" si="36">IF(E11=T11,(E11*E$6),IF(E11&gt;T11,E11*E$6,IF($B$4=1,(E11-T11)*E$6,((E11-T11)*E$6)/2)))</f>
        <v>1921875</v>
      </c>
      <c r="F28" s="136">
        <f t="shared" ref="F28:F33" si="37">IF(F11=U11,(F11*F$6),IF(F11&gt;U11,F11*F$6,IF($B$4=1,(F11-U11)*F$6,((F11-U11)*F$6)/2)))</f>
        <v>2626562.4999999995</v>
      </c>
      <c r="G28" s="135">
        <f>IF(G11=V11,(G11*G$6),IF(G11&gt;V11,G11*G$6,(G11-V11)*G$6))</f>
        <v>1570465.4947916665</v>
      </c>
      <c r="H28" s="135">
        <f t="shared" ref="H28:O28" si="38">IF(H11=W11,(H11*H$6),IF(H11&gt;W11,H11*H$6,(H11-W11)*H$6))</f>
        <v>1609727.1321614578</v>
      </c>
      <c r="I28" s="135">
        <f t="shared" si="38"/>
        <v>2003535.3769938145</v>
      </c>
      <c r="J28" s="135">
        <f t="shared" si="38"/>
        <v>2053623.7614186597</v>
      </c>
      <c r="K28" s="135">
        <f t="shared" si="38"/>
        <v>2228785.7881278982</v>
      </c>
      <c r="L28" s="135">
        <f t="shared" si="38"/>
        <v>2284505.4328310951</v>
      </c>
      <c r="M28" s="135">
        <f t="shared" si="38"/>
        <v>2341618.0686518722</v>
      </c>
      <c r="N28" s="135">
        <f t="shared" si="38"/>
        <v>2400158.5203681686</v>
      </c>
      <c r="O28" s="135">
        <f t="shared" si="38"/>
        <v>1230081.2416886867</v>
      </c>
    </row>
    <row r="29" spans="1:44" x14ac:dyDescent="0.2">
      <c r="A29" s="163"/>
      <c r="C29" s="4" t="s">
        <v>4</v>
      </c>
      <c r="D29" s="169" t="s">
        <v>17</v>
      </c>
      <c r="E29" s="135">
        <f t="shared" si="36"/>
        <v>1921875</v>
      </c>
      <c r="F29" s="136">
        <f t="shared" si="37"/>
        <v>2626562.4999999995</v>
      </c>
      <c r="G29" s="135">
        <f t="shared" ref="G29:N29" si="39">IF(G12=V12,(G12*G$6),IF(G12&gt;V12,G12*G$6,(G12-V12)*G$6))</f>
        <v>1570465.4947916665</v>
      </c>
      <c r="H29" s="135">
        <f t="shared" si="39"/>
        <v>1609727.1321614578</v>
      </c>
      <c r="I29" s="135">
        <f t="shared" si="39"/>
        <v>2003535.3769938145</v>
      </c>
      <c r="J29" s="135">
        <f t="shared" si="39"/>
        <v>2053623.7614186597</v>
      </c>
      <c r="K29" s="135">
        <f t="shared" si="39"/>
        <v>2228785.7881278982</v>
      </c>
      <c r="L29" s="135">
        <f t="shared" si="39"/>
        <v>2284505.4328310951</v>
      </c>
      <c r="M29" s="135">
        <f t="shared" si="39"/>
        <v>2341618.0686518722</v>
      </c>
      <c r="N29" s="135">
        <f t="shared" si="39"/>
        <v>2400158.5203681686</v>
      </c>
      <c r="O29" s="135">
        <f>IF(O12=AD12,(O12*O$6),IF(O12&gt;AD12,O12*O$6,(O12-AD12)*O$6))</f>
        <v>1230081.2416886867</v>
      </c>
    </row>
    <row r="30" spans="1:44" x14ac:dyDescent="0.2">
      <c r="A30" s="163"/>
      <c r="C30" s="4" t="s">
        <v>5</v>
      </c>
      <c r="D30" s="169" t="s">
        <v>17</v>
      </c>
      <c r="E30" s="135">
        <f t="shared" si="36"/>
        <v>1921875</v>
      </c>
      <c r="F30" s="136">
        <f t="shared" si="37"/>
        <v>2626562.4999999995</v>
      </c>
      <c r="G30" s="135">
        <f t="shared" ref="G30:O30" si="40">IF(G13=V13,(G13*G$6),IF(G13&gt;V13,G13*G$6,(G13-V13)*G$6))</f>
        <v>1570465.4947916665</v>
      </c>
      <c r="H30" s="135">
        <f t="shared" si="40"/>
        <v>1609727.1321614578</v>
      </c>
      <c r="I30" s="135">
        <f t="shared" si="40"/>
        <v>2003535.3769938145</v>
      </c>
      <c r="J30" s="135">
        <f t="shared" si="40"/>
        <v>2053623.7614186597</v>
      </c>
      <c r="K30" s="135">
        <f t="shared" si="40"/>
        <v>2228785.7881278982</v>
      </c>
      <c r="L30" s="135">
        <f t="shared" si="40"/>
        <v>2284505.4328310951</v>
      </c>
      <c r="M30" s="135">
        <f t="shared" si="40"/>
        <v>2341618.0686518722</v>
      </c>
      <c r="N30" s="135">
        <f t="shared" si="40"/>
        <v>2400158.5203681686</v>
      </c>
      <c r="O30" s="135">
        <f t="shared" si="40"/>
        <v>1230081.2416886867</v>
      </c>
    </row>
    <row r="31" spans="1:44" x14ac:dyDescent="0.2">
      <c r="A31" s="163"/>
      <c r="C31" s="4" t="s">
        <v>6</v>
      </c>
      <c r="D31" s="169" t="s">
        <v>17</v>
      </c>
      <c r="E31" s="135">
        <f t="shared" si="36"/>
        <v>1921875</v>
      </c>
      <c r="F31" s="136">
        <f t="shared" si="37"/>
        <v>2626562.4999999995</v>
      </c>
      <c r="G31" s="135">
        <f t="shared" ref="G31:O31" si="41">IF(G14=V14,(G14*G$6),IF(G14&gt;V14,G14*G$6,(G14-V14)*G$6))</f>
        <v>1570465.4947916665</v>
      </c>
      <c r="H31" s="135">
        <f t="shared" si="41"/>
        <v>1609727.1321614578</v>
      </c>
      <c r="I31" s="135">
        <f t="shared" si="41"/>
        <v>2003535.3769938145</v>
      </c>
      <c r="J31" s="135">
        <f t="shared" si="41"/>
        <v>2053623.7614186597</v>
      </c>
      <c r="K31" s="135">
        <f t="shared" si="41"/>
        <v>2228785.7881278982</v>
      </c>
      <c r="L31" s="135">
        <f t="shared" si="41"/>
        <v>2284505.4328310951</v>
      </c>
      <c r="M31" s="135">
        <f t="shared" si="41"/>
        <v>2341618.0686518722</v>
      </c>
      <c r="N31" s="135">
        <f t="shared" si="41"/>
        <v>2400158.5203681686</v>
      </c>
      <c r="O31" s="135">
        <f t="shared" si="41"/>
        <v>1230081.2416886867</v>
      </c>
    </row>
    <row r="32" spans="1:44" x14ac:dyDescent="0.2">
      <c r="A32" s="163"/>
      <c r="C32" s="4" t="s">
        <v>7</v>
      </c>
      <c r="D32" s="169" t="s">
        <v>17</v>
      </c>
      <c r="E32" s="135">
        <f t="shared" si="36"/>
        <v>1921875</v>
      </c>
      <c r="F32" s="136">
        <f t="shared" si="37"/>
        <v>2626562.4999999995</v>
      </c>
      <c r="G32" s="135">
        <f t="shared" ref="G32:O32" si="42">IF(G15=V15,(G15*G$6),IF(G15&gt;V15,G15*G$6,(G15-V15)*G$6))</f>
        <v>1570465.4947916665</v>
      </c>
      <c r="H32" s="135">
        <f t="shared" si="42"/>
        <v>1609727.1321614578</v>
      </c>
      <c r="I32" s="135">
        <f t="shared" si="42"/>
        <v>2003535.3769938145</v>
      </c>
      <c r="J32" s="135">
        <f t="shared" si="42"/>
        <v>2053623.7614186597</v>
      </c>
      <c r="K32" s="135">
        <f t="shared" si="42"/>
        <v>2228785.7881278982</v>
      </c>
      <c r="L32" s="135">
        <f t="shared" si="42"/>
        <v>2284505.4328310951</v>
      </c>
      <c r="M32" s="135">
        <f t="shared" si="42"/>
        <v>2341618.0686518722</v>
      </c>
      <c r="N32" s="135">
        <f t="shared" si="42"/>
        <v>2400158.5203681686</v>
      </c>
      <c r="O32" s="135">
        <f t="shared" si="42"/>
        <v>1230081.2416886867</v>
      </c>
    </row>
    <row r="33" spans="1:17" x14ac:dyDescent="0.2">
      <c r="A33" s="163"/>
      <c r="C33" s="4" t="s">
        <v>8</v>
      </c>
      <c r="D33" s="169" t="s">
        <v>17</v>
      </c>
      <c r="E33" s="135">
        <f t="shared" si="36"/>
        <v>2135416.6666666665</v>
      </c>
      <c r="F33" s="136">
        <f t="shared" si="37"/>
        <v>2626562.4999999995</v>
      </c>
      <c r="G33" s="135">
        <f t="shared" ref="G33:O33" si="43">IF(G16=V16,(G16*G$6),IF(G16&gt;V16,G16*G$6,(G16-V16)*G$6))</f>
        <v>1570465.4947916665</v>
      </c>
      <c r="H33" s="135">
        <f t="shared" si="43"/>
        <v>1609727.1321614578</v>
      </c>
      <c r="I33" s="135">
        <f t="shared" si="43"/>
        <v>2003535.3769938145</v>
      </c>
      <c r="J33" s="135">
        <f t="shared" si="43"/>
        <v>2053623.7614186597</v>
      </c>
      <c r="K33" s="135">
        <f t="shared" si="43"/>
        <v>2228785.7881278982</v>
      </c>
      <c r="L33" s="135">
        <f t="shared" si="43"/>
        <v>2284505.4328310951</v>
      </c>
      <c r="M33" s="135">
        <f t="shared" si="43"/>
        <v>2341618.0686518722</v>
      </c>
      <c r="N33" s="135">
        <f t="shared" si="43"/>
        <v>2400158.5203681686</v>
      </c>
      <c r="O33" s="135">
        <f t="shared" si="43"/>
        <v>1230081.2416886867</v>
      </c>
    </row>
    <row r="34" spans="1:17" x14ac:dyDescent="0.2">
      <c r="A34" s="163"/>
      <c r="C34" s="4" t="s">
        <v>9</v>
      </c>
      <c r="D34" s="137">
        <f>IF(D17=S17,(D17*D$6),IF(D17&gt;S17,D17*D$6,IF($B$4=1,(D17-S17)*D$6,((D17-S17)*D$6)/2)))</f>
        <v>1250000</v>
      </c>
      <c r="E34" s="135">
        <f t="shared" ref="E34:F34" si="44">IF(E17=T17,(E17*E$6),IF(E17&gt;T17,E17*E$6,IF($B$4=1,(E17-T17)*E$6,((E17-T17)*E$6)/2)))</f>
        <v>2135416.6666666665</v>
      </c>
      <c r="F34" s="136">
        <f t="shared" si="44"/>
        <v>2626562.4999999995</v>
      </c>
      <c r="G34" s="135">
        <f t="shared" ref="G34:N34" si="45">IF(G17=V17,(G17*G$6),IF(G17&gt;V17,G17*G$6,(G17-V17)*G$6))</f>
        <v>1570465.4947916665</v>
      </c>
      <c r="H34" s="135">
        <f t="shared" si="45"/>
        <v>1609727.1321614578</v>
      </c>
      <c r="I34" s="135">
        <f t="shared" si="45"/>
        <v>2003535.3769938145</v>
      </c>
      <c r="J34" s="135">
        <f t="shared" si="45"/>
        <v>2053623.7614186597</v>
      </c>
      <c r="K34" s="135">
        <f t="shared" si="45"/>
        <v>2228785.7881278982</v>
      </c>
      <c r="L34" s="135">
        <f t="shared" si="45"/>
        <v>2284505.4328310951</v>
      </c>
      <c r="M34" s="135">
        <f t="shared" si="45"/>
        <v>2341618.0686518722</v>
      </c>
      <c r="N34" s="135">
        <f t="shared" si="45"/>
        <v>2400158.5203681686</v>
      </c>
      <c r="O34" s="167" t="s">
        <v>17</v>
      </c>
    </row>
    <row r="35" spans="1:17" x14ac:dyDescent="0.2">
      <c r="A35" s="163"/>
      <c r="C35" s="4" t="s">
        <v>10</v>
      </c>
      <c r="D35" s="137">
        <f t="shared" ref="D35:D39" si="46">IF(D18=S18,(D18*D$6),IF(D18&gt;S18,D18*D$6,IF($B$4=1,(D18-S18)*D$6,((D18-S18)*D$6)/2)))</f>
        <v>1458333.3333333333</v>
      </c>
      <c r="E35" s="135">
        <f t="shared" ref="E35:E39" si="47">IF(E18=T18,(E18*E$6),IF(E18&gt;T18,E18*E$6,IF($B$4=1,(E18-T18)*E$6,((E18-T18)*E$6)/2)))</f>
        <v>2348958.3333333335</v>
      </c>
      <c r="F35" s="136">
        <f t="shared" ref="F35:F39" si="48">IF(F18=U18,(F18*F$6),IF(F18&gt;U18,F18*F$6,IF($B$4=1,(F18-U18)*F$6,((F18-U18)*F$6)/2)))</f>
        <v>2845442.708333333</v>
      </c>
      <c r="G35" s="135">
        <f t="shared" ref="G35:N35" si="49">IF(G18=V18,(G18*G$6),IF(G18&gt;V18,G18*G$6,(G18-V18)*G$6))</f>
        <v>1570465.4947916665</v>
      </c>
      <c r="H35" s="135">
        <f t="shared" si="49"/>
        <v>1724707.641601562</v>
      </c>
      <c r="I35" s="135">
        <f t="shared" si="49"/>
        <v>2003535.3769938145</v>
      </c>
      <c r="J35" s="135">
        <f t="shared" si="49"/>
        <v>2174425.1591491695</v>
      </c>
      <c r="K35" s="135">
        <f t="shared" si="49"/>
        <v>2228785.7881278982</v>
      </c>
      <c r="L35" s="135">
        <f t="shared" si="49"/>
        <v>2284505.4328310951</v>
      </c>
      <c r="M35" s="135">
        <f t="shared" si="49"/>
        <v>2341618.0686518722</v>
      </c>
      <c r="N35" s="135">
        <f t="shared" si="49"/>
        <v>2400158.5203681686</v>
      </c>
      <c r="O35" s="167" t="s">
        <v>17</v>
      </c>
    </row>
    <row r="36" spans="1:17" x14ac:dyDescent="0.2">
      <c r="A36" s="163"/>
      <c r="C36" s="4" t="s">
        <v>11</v>
      </c>
      <c r="D36" s="137">
        <f t="shared" si="46"/>
        <v>1666666.6666666667</v>
      </c>
      <c r="E36" s="135">
        <f t="shared" si="47"/>
        <v>2348958.3333333335</v>
      </c>
      <c r="F36" s="136">
        <f t="shared" si="48"/>
        <v>2845442.708333333</v>
      </c>
      <c r="G36" s="135">
        <f t="shared" ref="G36:N36" si="50">IF(G19=V19,(G19*G$6),IF(G19&gt;V19,G19*G$6,(G19-V19)*G$6))</f>
        <v>1570465.4947916665</v>
      </c>
      <c r="H36" s="135">
        <f t="shared" si="50"/>
        <v>1839688.151041666</v>
      </c>
      <c r="I36" s="135">
        <f t="shared" si="50"/>
        <v>2003535.3769938145</v>
      </c>
      <c r="J36" s="135">
        <f t="shared" si="50"/>
        <v>2174425.1591491695</v>
      </c>
      <c r="K36" s="135">
        <f t="shared" si="50"/>
        <v>2228785.7881278982</v>
      </c>
      <c r="L36" s="135">
        <f t="shared" si="50"/>
        <v>2284505.4328310951</v>
      </c>
      <c r="M36" s="135">
        <f t="shared" si="50"/>
        <v>2341618.0686518722</v>
      </c>
      <c r="N36" s="135">
        <f t="shared" si="50"/>
        <v>2400158.5203681686</v>
      </c>
      <c r="O36" s="167" t="s">
        <v>17</v>
      </c>
    </row>
    <row r="37" spans="1:17" x14ac:dyDescent="0.2">
      <c r="A37" s="163"/>
      <c r="C37" s="4" t="s">
        <v>12</v>
      </c>
      <c r="D37" s="137">
        <f t="shared" si="46"/>
        <v>1666666.6666666667</v>
      </c>
      <c r="E37" s="135">
        <f t="shared" si="47"/>
        <v>2562499.9999999995</v>
      </c>
      <c r="F37" s="136">
        <f t="shared" si="48"/>
        <v>3064322.916666666</v>
      </c>
      <c r="G37" s="135">
        <f t="shared" ref="G37:N37" si="51">IF(G20=V20,(G20*G$6),IF(G20&gt;V20,G20*G$6,(G20-V20)*G$6))</f>
        <v>1570465.4947916665</v>
      </c>
      <c r="H37" s="135">
        <f t="shared" si="51"/>
        <v>1839688.151041666</v>
      </c>
      <c r="I37" s="135">
        <f t="shared" si="51"/>
        <v>2003535.3769938145</v>
      </c>
      <c r="J37" s="135">
        <f t="shared" si="51"/>
        <v>2174425.1591491695</v>
      </c>
      <c r="K37" s="135">
        <f t="shared" si="51"/>
        <v>2228785.7881278982</v>
      </c>
      <c r="L37" s="135">
        <f t="shared" si="51"/>
        <v>2284505.4328310951</v>
      </c>
      <c r="M37" s="135">
        <f t="shared" si="51"/>
        <v>2341618.0686518722</v>
      </c>
      <c r="N37" s="135">
        <f t="shared" si="51"/>
        <v>2400158.5203681686</v>
      </c>
      <c r="O37" s="167" t="s">
        <v>17</v>
      </c>
    </row>
    <row r="38" spans="1:17" x14ac:dyDescent="0.2">
      <c r="A38" s="163"/>
      <c r="C38" s="4" t="s">
        <v>13</v>
      </c>
      <c r="D38" s="137">
        <f t="shared" si="46"/>
        <v>1666666.6666666667</v>
      </c>
      <c r="E38" s="135">
        <f t="shared" si="47"/>
        <v>2562499.9999999995</v>
      </c>
      <c r="F38" s="136">
        <f t="shared" si="48"/>
        <v>3064322.916666666</v>
      </c>
      <c r="G38" s="135">
        <f t="shared" ref="G38:N38" si="52">IF(G21=V21,(G21*G$6),IF(G21&gt;V21,G21*G$6,(G21-V21)*G$6))</f>
        <v>1570465.4947916665</v>
      </c>
      <c r="H38" s="135">
        <f t="shared" si="52"/>
        <v>1954668.6604817701</v>
      </c>
      <c r="I38" s="135">
        <f t="shared" si="52"/>
        <v>2003535.3769938145</v>
      </c>
      <c r="J38" s="135">
        <f t="shared" si="52"/>
        <v>2174425.1591491695</v>
      </c>
      <c r="K38" s="135">
        <f t="shared" si="52"/>
        <v>2228785.7881278982</v>
      </c>
      <c r="L38" s="135">
        <f t="shared" si="52"/>
        <v>2284505.4328310951</v>
      </c>
      <c r="M38" s="135">
        <f t="shared" si="52"/>
        <v>2341618.0686518722</v>
      </c>
      <c r="N38" s="135">
        <f t="shared" si="52"/>
        <v>2400158.5203681686</v>
      </c>
      <c r="O38" s="167" t="s">
        <v>17</v>
      </c>
    </row>
    <row r="39" spans="1:17" ht="13.5" thickBot="1" x14ac:dyDescent="0.25">
      <c r="A39" s="163"/>
      <c r="C39" s="40" t="s">
        <v>14</v>
      </c>
      <c r="D39" s="138">
        <f t="shared" si="46"/>
        <v>1666666.6666666667</v>
      </c>
      <c r="E39" s="139">
        <f t="shared" si="47"/>
        <v>2562499.9999999995</v>
      </c>
      <c r="F39" s="170">
        <f t="shared" si="48"/>
        <v>3064322.916666666</v>
      </c>
      <c r="G39" s="135">
        <f t="shared" ref="G39:N39" si="53">IF(G22=V22,(G22*G$6),IF(G22&gt;V22,G22*G$6,(G22-V22)*G$6))</f>
        <v>1570465.4947916665</v>
      </c>
      <c r="H39" s="135">
        <f t="shared" si="53"/>
        <v>1954668.6604817701</v>
      </c>
      <c r="I39" s="135">
        <f t="shared" si="53"/>
        <v>2003535.3769938145</v>
      </c>
      <c r="J39" s="135">
        <f t="shared" si="53"/>
        <v>2174425.1591491695</v>
      </c>
      <c r="K39" s="135">
        <f t="shared" si="53"/>
        <v>2228785.7881278982</v>
      </c>
      <c r="L39" s="135">
        <f t="shared" si="53"/>
        <v>2284505.4328310951</v>
      </c>
      <c r="M39" s="135">
        <f t="shared" si="53"/>
        <v>2341618.0686518722</v>
      </c>
      <c r="N39" s="135">
        <f t="shared" si="53"/>
        <v>2400158.5203681686</v>
      </c>
      <c r="O39" s="168" t="s">
        <v>17</v>
      </c>
      <c r="Q39" t="s">
        <v>113</v>
      </c>
    </row>
    <row r="40" spans="1:17" ht="13.5" thickBot="1" x14ac:dyDescent="0.25">
      <c r="C40" s="7" t="s">
        <v>16</v>
      </c>
      <c r="D40" s="140">
        <f>SUM(D33:D39)</f>
        <v>9375000</v>
      </c>
      <c r="E40" s="141">
        <f>SUM(E28:E39)</f>
        <v>26265625</v>
      </c>
      <c r="F40" s="142">
        <f t="shared" ref="F40:O40" si="54">SUM(F28:F39)</f>
        <v>33269791.666666657</v>
      </c>
      <c r="G40" s="187">
        <f t="shared" si="54"/>
        <v>18845585.937499996</v>
      </c>
      <c r="H40" s="188">
        <f t="shared" si="54"/>
        <v>20581511.189778637</v>
      </c>
      <c r="I40" s="188">
        <f t="shared" si="54"/>
        <v>24042424.523925766</v>
      </c>
      <c r="J40" s="188">
        <f t="shared" si="54"/>
        <v>25247492.125676464</v>
      </c>
      <c r="K40" s="188">
        <f t="shared" si="54"/>
        <v>26745429.457534786</v>
      </c>
      <c r="L40" s="188">
        <f t="shared" si="54"/>
        <v>27414065.193973135</v>
      </c>
      <c r="M40" s="188">
        <f t="shared" si="54"/>
        <v>28099416.823822472</v>
      </c>
      <c r="N40" s="188">
        <f t="shared" ref="N40" si="55">SUM(N28:N39)</f>
        <v>28801902.244418029</v>
      </c>
      <c r="O40" s="39">
        <f t="shared" si="54"/>
        <v>7380487.4501321195</v>
      </c>
      <c r="Q40" s="144">
        <f>SUM(D40:O40)</f>
        <v>276068731.61342806</v>
      </c>
    </row>
    <row r="41" spans="1:17" ht="13.5" thickBot="1" x14ac:dyDescent="0.25">
      <c r="D41" s="203" t="s">
        <v>120</v>
      </c>
      <c r="E41" s="204"/>
      <c r="F41" s="205"/>
    </row>
    <row r="42" spans="1:17" x14ac:dyDescent="0.2">
      <c r="O42" s="143"/>
      <c r="Q42" s="3" t="s">
        <v>114</v>
      </c>
    </row>
    <row r="43" spans="1:17" x14ac:dyDescent="0.2">
      <c r="D43" s="5"/>
      <c r="E43" s="5"/>
      <c r="F43" s="5"/>
      <c r="G43" s="5"/>
      <c r="Q43" s="97">
        <f>Q40/Inndata!O20</f>
        <v>8.7366911994427685E-2</v>
      </c>
    </row>
    <row r="44" spans="1:17" x14ac:dyDescent="0.2">
      <c r="D44" s="5"/>
      <c r="E44" s="5"/>
      <c r="F44" s="5"/>
      <c r="G44" s="5"/>
    </row>
    <row r="45" spans="1:17" x14ac:dyDescent="0.2">
      <c r="D45" s="5"/>
      <c r="E45" s="5"/>
      <c r="F45" s="5"/>
      <c r="G45" s="149"/>
    </row>
    <row r="48" spans="1:17" x14ac:dyDescent="0.2">
      <c r="E48" s="3"/>
    </row>
  </sheetData>
  <protectedRanges>
    <protectedRange algorithmName="SHA-512" hashValue="d6eA1y6nuHkY/7CaWmonHZviBYzSSaLMbsaXPo93iNrlzAfJvRap83YLzpOzKsCzK9tr+7MCLEws/rsbmKzqMg==" saltValue="FjuFooE+UzqOFB1mEkrHfw==" spinCount="100000" sqref="D17:N22 E11:O16" name="Range1"/>
    <protectedRange algorithmName="SHA-512" hashValue="iHIxL41c9kdZ/woB5E/sglAfEQ2GLP9TTnElBU1czGXJbjVwtCqsQVZAKxlFYWDhESUq/l1GCcrwnAdxGXqHZg==" saltValue="CNYUgZriUYrntAr+tKi4Nw==" spinCount="100000" sqref="B4" name="Alternativ"/>
  </protectedRanges>
  <mergeCells count="8">
    <mergeCell ref="R6:AD6"/>
    <mergeCell ref="R24:AD24"/>
    <mergeCell ref="D41:F41"/>
    <mergeCell ref="AF8:AR8"/>
    <mergeCell ref="C8:O8"/>
    <mergeCell ref="R8:AD8"/>
    <mergeCell ref="C25:O25"/>
    <mergeCell ref="AF23:AR23"/>
  </mergeCells>
  <conditionalFormatting sqref="D34:F39 E29:F33 E28:N28">
    <cfRule type="cellIs" dxfId="13" priority="12" operator="greaterThan">
      <formula>0</formula>
    </cfRule>
    <cfRule type="cellIs" dxfId="12" priority="13" operator="lessThan">
      <formula>0</formula>
    </cfRule>
  </conditionalFormatting>
  <conditionalFormatting sqref="D40:O40">
    <cfRule type="cellIs" dxfId="11" priority="10" operator="greaterThan">
      <formula>0</formula>
    </cfRule>
    <cfRule type="cellIs" dxfId="10" priority="11" operator="lessThan">
      <formula>0</formula>
    </cfRule>
  </conditionalFormatting>
  <conditionalFormatting sqref="AG11:AR22">
    <cfRule type="cellIs" dxfId="9" priority="8" operator="greaterThan">
      <formula>0</formula>
    </cfRule>
    <cfRule type="cellIs" dxfId="8" priority="9" operator="lessThan">
      <formula>0</formula>
    </cfRule>
  </conditionalFormatting>
  <conditionalFormatting sqref="G29:N39">
    <cfRule type="cellIs" dxfId="7" priority="3" operator="greaterThan">
      <formula>0</formula>
    </cfRule>
    <cfRule type="cellIs" dxfId="6" priority="4" operator="lessThan">
      <formula>0</formula>
    </cfRule>
  </conditionalFormatting>
  <conditionalFormatting sqref="O28:O33">
    <cfRule type="cellIs" dxfId="5" priority="1" operator="greaterThan">
      <formula>0</formula>
    </cfRule>
    <cfRule type="cellIs" dxfId="4" priority="2" operator="lessThan">
      <formula>0</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Velg alternativ" error="Du kan bare velge mellom alternativ 1, 2 og 3." promptTitle="Velg alternativ" prompt="Velg alternativ 1, 2 eller 3. ">
          <x14:formula1>
            <xm:f>Inndata!$B$25:$B$27</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A1.1 - Beregninger</vt:lpstr>
      <vt:lpstr>A1 - Faktorer</vt:lpstr>
      <vt:lpstr>A1.2(2) - Beregninger</vt:lpstr>
      <vt:lpstr>A1.2 - Beregninger</vt:lpstr>
      <vt:lpstr>A2 - Faktorer</vt:lpstr>
      <vt:lpstr>A2.1 - Beregninger</vt:lpstr>
      <vt:lpstr>OM</vt:lpstr>
      <vt:lpstr>Inndata</vt:lpstr>
      <vt:lpstr>Beregninger</vt:lpstr>
      <vt:lpstr>A3.2a - Beregninger</vt:lpstr>
      <vt:lpstr>A3 - Faktorer</vt:lpstr>
      <vt:lpstr>Regularitet</vt:lpstr>
      <vt:lpstr>Alt-i-alt</vt:lpstr>
      <vt:lpstr>Grafer</vt:lpstr>
      <vt:lpstr>ulike utslag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Øystein Fjæra</dc:creator>
  <cp:lastModifiedBy>Øystein Fjæra</cp:lastModifiedBy>
  <dcterms:created xsi:type="dcterms:W3CDTF">2017-06-19T09:52:16Z</dcterms:created>
  <dcterms:modified xsi:type="dcterms:W3CDTF">2017-09-06T08:12:49Z</dcterms:modified>
</cp:coreProperties>
</file>